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C:\Users\HP\OneDrive\Desktop\shayan\"/>
    </mc:Choice>
  </mc:AlternateContent>
  <xr:revisionPtr revIDLastSave="0" documentId="13_ncr:1_{C91B456E-CCF4-4C06-9527-2FE884A40305}" xr6:coauthVersionLast="47" xr6:coauthVersionMax="47" xr10:uidLastSave="{00000000-0000-0000-0000-000000000000}"/>
  <bookViews>
    <workbookView xWindow="-108" yWindow="-108" windowWidth="23256" windowHeight="13176" tabRatio="795" firstSheet="1" activeTab="3" xr2:uid="{00000000-000D-0000-FFFF-FFFF00000000}"/>
  </bookViews>
  <sheets>
    <sheet name="HOME" sheetId="6" r:id="rId1"/>
    <sheet name="SUMMARY" sheetId="9" r:id="rId2"/>
    <sheet name="CHARMS" sheetId="5" r:id="rId3"/>
    <sheet name="PROBAST" sheetId="7" r:id="rId4"/>
    <sheet name="Study Characteristics" sheetId="1" r:id="rId5"/>
    <sheet name="Model characteristics" sheetId="10" r:id="rId6"/>
    <sheet name="PROBAST summary" sheetId="8" r:id="rId7"/>
    <sheet name="CHARMS.Drop-down response lists" sheetId="11" r:id="rId8"/>
  </sheets>
  <definedNames>
    <definedName name="_xlnm._FilterDatabase" localSheetId="2" hidden="1">CHARMS!$A$5:$CQ$93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 i="10" l="1"/>
  <c r="D24" i="5"/>
  <c r="I36" i="9" l="1"/>
  <c r="I35" i="9"/>
  <c r="I34" i="9"/>
  <c r="I33" i="9"/>
  <c r="I32" i="9"/>
  <c r="I31" i="9"/>
  <c r="I30" i="9"/>
  <c r="I29" i="9"/>
  <c r="I28" i="9"/>
  <c r="I27" i="9"/>
  <c r="I26" i="9"/>
  <c r="I25" i="9"/>
  <c r="I24" i="9"/>
  <c r="I23" i="9"/>
  <c r="I22" i="9"/>
  <c r="I21" i="9"/>
  <c r="I20" i="9"/>
  <c r="I19" i="9"/>
  <c r="I18" i="9"/>
  <c r="I17" i="9"/>
  <c r="I16" i="9"/>
  <c r="I15" i="9"/>
  <c r="I14" i="9"/>
  <c r="I13" i="9"/>
  <c r="I12" i="9"/>
  <c r="I11" i="9"/>
  <c r="I10" i="9"/>
  <c r="I9" i="9"/>
  <c r="I8" i="9"/>
  <c r="I7" i="9"/>
  <c r="F5" i="9" l="1"/>
  <c r="CO75" i="5" l="1"/>
  <c r="CL75" i="5"/>
  <c r="CI75" i="5"/>
  <c r="CF75" i="5"/>
  <c r="CC75" i="5"/>
  <c r="BZ75" i="5"/>
  <c r="BW75" i="5"/>
  <c r="BT75" i="5"/>
  <c r="BQ75" i="5"/>
  <c r="BN75" i="5"/>
  <c r="BK75" i="5"/>
  <c r="BH75" i="5"/>
  <c r="BE75" i="5"/>
  <c r="BB75" i="5"/>
  <c r="AY75" i="5"/>
  <c r="AV75" i="5"/>
  <c r="AS75" i="5"/>
  <c r="AP75" i="5"/>
  <c r="AM75" i="5"/>
  <c r="AJ75" i="5"/>
  <c r="AG75" i="5"/>
  <c r="AD75" i="5"/>
  <c r="AA75" i="5"/>
  <c r="X75" i="5"/>
  <c r="U75" i="5"/>
  <c r="R75" i="5"/>
  <c r="O75" i="5"/>
  <c r="L75" i="5"/>
  <c r="I75" i="5"/>
  <c r="F75" i="5"/>
  <c r="I71" i="5" l="1"/>
  <c r="AA83" i="5"/>
  <c r="AE12" i="7" l="1"/>
  <c r="AE11" i="7"/>
  <c r="AE10" i="7"/>
  <c r="AE9" i="7"/>
  <c r="AE8" i="7"/>
  <c r="AD12" i="7"/>
  <c r="AD11" i="7"/>
  <c r="AD10" i="7"/>
  <c r="AD9" i="7"/>
  <c r="AD8" i="7"/>
  <c r="AC12" i="7"/>
  <c r="AC11" i="7"/>
  <c r="AC10" i="7"/>
  <c r="AC9" i="7"/>
  <c r="AC8" i="7"/>
  <c r="AB12" i="7"/>
  <c r="AB11" i="7"/>
  <c r="AB10" i="7"/>
  <c r="AB9" i="7"/>
  <c r="AB8" i="7"/>
  <c r="AA12" i="7"/>
  <c r="AA11" i="7"/>
  <c r="AA10" i="7"/>
  <c r="AA9" i="7"/>
  <c r="AA8" i="7"/>
  <c r="Z12" i="7"/>
  <c r="Z11" i="7"/>
  <c r="Z10" i="7"/>
  <c r="Z9" i="7"/>
  <c r="Z8" i="7"/>
  <c r="Y12" i="7"/>
  <c r="Y11" i="7"/>
  <c r="Y10" i="7"/>
  <c r="Y9" i="7"/>
  <c r="Y8" i="7"/>
  <c r="X12" i="7"/>
  <c r="X11" i="7"/>
  <c r="X10" i="7"/>
  <c r="X9" i="7"/>
  <c r="X8" i="7"/>
  <c r="W12" i="7"/>
  <c r="W11" i="7"/>
  <c r="W10" i="7"/>
  <c r="W9" i="7"/>
  <c r="W8" i="7"/>
  <c r="V12" i="7"/>
  <c r="V11" i="7"/>
  <c r="V10" i="7"/>
  <c r="V9" i="7"/>
  <c r="V8" i="7"/>
  <c r="U12" i="7"/>
  <c r="U11" i="7"/>
  <c r="U10" i="7"/>
  <c r="U9" i="7"/>
  <c r="U8" i="7"/>
  <c r="T12" i="7"/>
  <c r="T11" i="7"/>
  <c r="T10" i="7"/>
  <c r="T9" i="7"/>
  <c r="T8" i="7"/>
  <c r="S12" i="7"/>
  <c r="S11" i="7"/>
  <c r="S10" i="7"/>
  <c r="S9" i="7"/>
  <c r="S8" i="7"/>
  <c r="R12" i="7"/>
  <c r="R11" i="7"/>
  <c r="R10" i="7"/>
  <c r="R9" i="7"/>
  <c r="R8" i="7"/>
  <c r="Q12" i="7"/>
  <c r="Q11" i="7"/>
  <c r="Q10" i="7"/>
  <c r="Q9" i="7"/>
  <c r="Q8" i="7"/>
  <c r="P12" i="7"/>
  <c r="P11" i="7"/>
  <c r="P10" i="7"/>
  <c r="P9" i="7"/>
  <c r="P8" i="7"/>
  <c r="O12" i="7"/>
  <c r="O11" i="7"/>
  <c r="O10" i="7"/>
  <c r="O9" i="7"/>
  <c r="O8" i="7"/>
  <c r="N12" i="7"/>
  <c r="N11" i="7"/>
  <c r="N10" i="7"/>
  <c r="N9" i="7"/>
  <c r="N8" i="7"/>
  <c r="M12" i="7"/>
  <c r="M11" i="7"/>
  <c r="M10" i="7"/>
  <c r="M9" i="7"/>
  <c r="M8" i="7"/>
  <c r="L8" i="7"/>
  <c r="L12" i="7"/>
  <c r="L11" i="7"/>
  <c r="L10" i="7"/>
  <c r="L9" i="7"/>
  <c r="K12" i="7"/>
  <c r="K11" i="7"/>
  <c r="K10" i="7"/>
  <c r="K9" i="7"/>
  <c r="J12" i="7"/>
  <c r="J11" i="7"/>
  <c r="J10" i="7"/>
  <c r="J9" i="7"/>
  <c r="I12" i="7"/>
  <c r="I11" i="7"/>
  <c r="I10" i="7"/>
  <c r="I9" i="7"/>
  <c r="H12" i="7"/>
  <c r="H11" i="7"/>
  <c r="H10" i="7"/>
  <c r="H9" i="7"/>
  <c r="G12" i="7"/>
  <c r="H8" i="7"/>
  <c r="G11" i="7"/>
  <c r="G10" i="7"/>
  <c r="G9" i="7"/>
  <c r="F12" i="7"/>
  <c r="F11" i="7"/>
  <c r="F10" i="7"/>
  <c r="F9" i="7"/>
  <c r="E12" i="7"/>
  <c r="E11" i="7"/>
  <c r="E10" i="7"/>
  <c r="E9" i="7"/>
  <c r="D12" i="7"/>
  <c r="D11" i="7"/>
  <c r="E8" i="7"/>
  <c r="D10" i="7"/>
  <c r="D9" i="7"/>
  <c r="C12" i="7"/>
  <c r="C11" i="7"/>
  <c r="C10" i="7"/>
  <c r="C9" i="7"/>
  <c r="K8" i="7"/>
  <c r="J8" i="7"/>
  <c r="I8" i="7"/>
  <c r="G8" i="7"/>
  <c r="F8" i="7"/>
  <c r="D8" i="7"/>
  <c r="C8" i="7"/>
  <c r="CO47" i="5"/>
  <c r="CL47" i="5"/>
  <c r="CI47" i="5"/>
  <c r="CF47" i="5"/>
  <c r="CC47" i="5"/>
  <c r="BZ47" i="5"/>
  <c r="BW47" i="5"/>
  <c r="BT47" i="5"/>
  <c r="BQ47" i="5"/>
  <c r="BN47" i="5"/>
  <c r="BK47" i="5"/>
  <c r="BH47" i="5"/>
  <c r="BE47" i="5"/>
  <c r="BB47" i="5"/>
  <c r="AY47" i="5"/>
  <c r="AV47" i="5"/>
  <c r="AS47" i="5"/>
  <c r="AP47" i="5"/>
  <c r="AM47" i="5"/>
  <c r="AJ47" i="5"/>
  <c r="AG47" i="5"/>
  <c r="AD47" i="5"/>
  <c r="AA47" i="5"/>
  <c r="X47" i="5"/>
  <c r="U47" i="5"/>
  <c r="R47" i="5"/>
  <c r="O47" i="5"/>
  <c r="L47" i="5"/>
  <c r="I47" i="5"/>
  <c r="F47" i="5"/>
  <c r="F48" i="5" s="1"/>
  <c r="K5" i="1" l="1"/>
  <c r="J5" i="1"/>
  <c r="I5" i="1"/>
  <c r="H5" i="1"/>
  <c r="G5" i="1"/>
  <c r="D28" i="5" l="1"/>
  <c r="D27" i="5"/>
  <c r="D26" i="5"/>
  <c r="D25" i="5"/>
  <c r="CO48" i="5" l="1"/>
  <c r="CL48" i="5"/>
  <c r="CI48" i="5"/>
  <c r="CF48" i="5"/>
  <c r="CC48" i="5"/>
  <c r="BZ48" i="5"/>
  <c r="BW48" i="5"/>
  <c r="BT48" i="5"/>
  <c r="BQ48" i="5"/>
  <c r="BN48" i="5"/>
  <c r="BK48" i="5"/>
  <c r="BH48" i="5"/>
  <c r="BE48" i="5"/>
  <c r="BB48" i="5"/>
  <c r="AY48" i="5"/>
  <c r="AV48" i="5"/>
  <c r="AS48" i="5"/>
  <c r="AP48" i="5"/>
  <c r="AM48" i="5"/>
  <c r="AJ48" i="5"/>
  <c r="AG48" i="5"/>
  <c r="AD48" i="5"/>
  <c r="AA48" i="5"/>
  <c r="X48" i="5"/>
  <c r="U48" i="5"/>
  <c r="R48" i="5"/>
  <c r="O48" i="5"/>
  <c r="L48" i="5"/>
  <c r="I48" i="5"/>
  <c r="CO71" i="5" l="1"/>
  <c r="CL71" i="5"/>
  <c r="CI71" i="5"/>
  <c r="CF71" i="5"/>
  <c r="CC71" i="5"/>
  <c r="BZ71" i="5"/>
  <c r="BW71" i="5"/>
  <c r="BT71" i="5"/>
  <c r="BQ71" i="5"/>
  <c r="BN71" i="5"/>
  <c r="BK71" i="5"/>
  <c r="BH71" i="5"/>
  <c r="BE71" i="5"/>
  <c r="BB71" i="5"/>
  <c r="AY71" i="5"/>
  <c r="AV71" i="5"/>
  <c r="AS71" i="5"/>
  <c r="AP71" i="5"/>
  <c r="AM71" i="5"/>
  <c r="AJ71" i="5"/>
  <c r="AG71" i="5"/>
  <c r="AD71" i="5"/>
  <c r="AA71" i="5"/>
  <c r="X71" i="5"/>
  <c r="U71" i="5"/>
  <c r="R71" i="5"/>
  <c r="O71" i="5"/>
  <c r="L71" i="5"/>
  <c r="CO64" i="5"/>
  <c r="CL64" i="5"/>
  <c r="CI64" i="5"/>
  <c r="CF64" i="5"/>
  <c r="CC64" i="5"/>
  <c r="BZ64" i="5"/>
  <c r="BW64" i="5"/>
  <c r="BT64" i="5"/>
  <c r="BQ64" i="5"/>
  <c r="BN64" i="5"/>
  <c r="BK64" i="5"/>
  <c r="BH64" i="5"/>
  <c r="BE64" i="5"/>
  <c r="BB64" i="5"/>
  <c r="AY64" i="5"/>
  <c r="AV64" i="5"/>
  <c r="AS64" i="5"/>
  <c r="AP64" i="5"/>
  <c r="AM64" i="5"/>
  <c r="AJ64" i="5"/>
  <c r="AG64" i="5"/>
  <c r="AD64" i="5"/>
  <c r="AA64" i="5"/>
  <c r="X64" i="5"/>
  <c r="U64" i="5"/>
  <c r="R64" i="5"/>
  <c r="O64" i="5"/>
  <c r="L64" i="5"/>
  <c r="I64" i="5"/>
  <c r="CO58" i="5"/>
  <c r="CL58" i="5"/>
  <c r="CI58" i="5"/>
  <c r="CF58" i="5"/>
  <c r="CC58" i="5"/>
  <c r="BZ58" i="5"/>
  <c r="BW58" i="5"/>
  <c r="BT58" i="5"/>
  <c r="BQ58" i="5"/>
  <c r="BN58" i="5"/>
  <c r="BK58" i="5"/>
  <c r="BH58" i="5"/>
  <c r="BE58" i="5"/>
  <c r="BB58" i="5"/>
  <c r="AY58" i="5"/>
  <c r="AV58" i="5"/>
  <c r="AS58" i="5"/>
  <c r="AP58" i="5"/>
  <c r="AM58" i="5"/>
  <c r="AJ58" i="5"/>
  <c r="AG58" i="5"/>
  <c r="AD58" i="5"/>
  <c r="AA58" i="5"/>
  <c r="X58" i="5"/>
  <c r="U58" i="5"/>
  <c r="R58" i="5"/>
  <c r="O58" i="5"/>
  <c r="L58" i="5"/>
  <c r="I58" i="5"/>
  <c r="F71" i="5"/>
  <c r="F64" i="5"/>
  <c r="F58" i="5"/>
  <c r="K36" i="9" l="1"/>
  <c r="K35" i="9"/>
  <c r="K34" i="9"/>
  <c r="K33" i="9"/>
  <c r="K32" i="9"/>
  <c r="K31" i="9"/>
  <c r="K30" i="9"/>
  <c r="K29" i="9"/>
  <c r="K28" i="9"/>
  <c r="K27" i="9"/>
  <c r="K26" i="9"/>
  <c r="K25" i="9"/>
  <c r="K24" i="9"/>
  <c r="K23" i="9"/>
  <c r="K22" i="9"/>
  <c r="K21" i="9"/>
  <c r="K20" i="9"/>
  <c r="K19" i="9"/>
  <c r="K18" i="9"/>
  <c r="K17" i="9"/>
  <c r="K16" i="9"/>
  <c r="K15" i="9"/>
  <c r="K14" i="9"/>
  <c r="K13" i="9"/>
  <c r="K12" i="9"/>
  <c r="K11" i="9"/>
  <c r="K10" i="9"/>
  <c r="K9" i="9" l="1"/>
  <c r="K8" i="9"/>
  <c r="K7" i="9"/>
  <c r="B12" i="7" l="1"/>
  <c r="B11" i="7"/>
  <c r="B10" i="7"/>
  <c r="B9" i="7"/>
  <c r="B8" i="7"/>
  <c r="CO88" i="5" l="1"/>
  <c r="CL88" i="5"/>
  <c r="CI88" i="5"/>
  <c r="CF88" i="5"/>
  <c r="CC88" i="5"/>
  <c r="BZ88" i="5"/>
  <c r="BW88" i="5"/>
  <c r="BT88" i="5"/>
  <c r="BQ88" i="5"/>
  <c r="BN88" i="5"/>
  <c r="BK88" i="5"/>
  <c r="BH88" i="5"/>
  <c r="BE88" i="5"/>
  <c r="BB88" i="5"/>
  <c r="AY88" i="5"/>
  <c r="AV88" i="5"/>
  <c r="AS88" i="5"/>
  <c r="AP88" i="5"/>
  <c r="AM88" i="5"/>
  <c r="AJ88" i="5"/>
  <c r="AG88" i="5"/>
  <c r="AD88" i="5"/>
  <c r="AA88" i="5"/>
  <c r="X88" i="5"/>
  <c r="U88" i="5"/>
  <c r="R88" i="5"/>
  <c r="O88" i="5"/>
  <c r="L88" i="5"/>
  <c r="I88" i="5"/>
  <c r="CO83" i="5"/>
  <c r="CL83" i="5"/>
  <c r="CI83" i="5"/>
  <c r="CF83" i="5"/>
  <c r="CC83" i="5"/>
  <c r="BZ83" i="5"/>
  <c r="BW83" i="5"/>
  <c r="BT83" i="5"/>
  <c r="BQ83" i="5"/>
  <c r="BN83" i="5"/>
  <c r="BK83" i="5"/>
  <c r="BH83" i="5"/>
  <c r="BE83" i="5"/>
  <c r="BB83" i="5"/>
  <c r="AY83" i="5"/>
  <c r="AV83" i="5"/>
  <c r="AS83" i="5"/>
  <c r="AP83" i="5"/>
  <c r="AM83" i="5"/>
  <c r="AJ83" i="5"/>
  <c r="AG83" i="5"/>
  <c r="AD83" i="5"/>
  <c r="X83" i="5"/>
  <c r="U83" i="5"/>
  <c r="R83" i="5"/>
  <c r="O83" i="5"/>
  <c r="L83" i="5"/>
  <c r="I83" i="5"/>
  <c r="CO78" i="5"/>
  <c r="CL78" i="5"/>
  <c r="CI78" i="5"/>
  <c r="CF78" i="5"/>
  <c r="CC78" i="5"/>
  <c r="BZ78" i="5"/>
  <c r="BW78" i="5"/>
  <c r="BT78" i="5"/>
  <c r="BQ78" i="5"/>
  <c r="BN78" i="5"/>
  <c r="BK78" i="5"/>
  <c r="BH78" i="5"/>
  <c r="BE78" i="5"/>
  <c r="BB78" i="5"/>
  <c r="AY78" i="5"/>
  <c r="AV78" i="5"/>
  <c r="AS78" i="5"/>
  <c r="AP78" i="5"/>
  <c r="AM78" i="5"/>
  <c r="AJ78" i="5"/>
  <c r="AG78" i="5"/>
  <c r="AD78" i="5"/>
  <c r="AA78" i="5"/>
  <c r="X78" i="5"/>
  <c r="U78" i="5"/>
  <c r="R78" i="5"/>
  <c r="O78" i="5"/>
  <c r="L78" i="5"/>
  <c r="I78" i="5"/>
  <c r="CO52" i="5"/>
  <c r="CL52" i="5"/>
  <c r="CI52" i="5"/>
  <c r="CF52" i="5"/>
  <c r="CC52" i="5"/>
  <c r="BZ52" i="5"/>
  <c r="BW52" i="5"/>
  <c r="BT52" i="5"/>
  <c r="BQ52" i="5"/>
  <c r="BN52" i="5"/>
  <c r="BK52" i="5"/>
  <c r="BH52" i="5"/>
  <c r="BE52" i="5"/>
  <c r="BB52" i="5"/>
  <c r="AY52" i="5"/>
  <c r="AV52" i="5"/>
  <c r="AS52" i="5"/>
  <c r="AP52" i="5"/>
  <c r="AM52" i="5"/>
  <c r="AJ52" i="5"/>
  <c r="AG52" i="5"/>
  <c r="AD52" i="5"/>
  <c r="AA52" i="5"/>
  <c r="X52" i="5"/>
  <c r="U52" i="5"/>
  <c r="R52" i="5"/>
  <c r="O52" i="5"/>
  <c r="L52" i="5"/>
  <c r="I52" i="5"/>
  <c r="CO49" i="5"/>
  <c r="CL49" i="5"/>
  <c r="CI49" i="5"/>
  <c r="CF49" i="5"/>
  <c r="CC49" i="5"/>
  <c r="BZ49" i="5"/>
  <c r="BW49" i="5"/>
  <c r="BT49" i="5"/>
  <c r="BQ49" i="5"/>
  <c r="BN49" i="5"/>
  <c r="BK49" i="5"/>
  <c r="BH49" i="5"/>
  <c r="BE49" i="5"/>
  <c r="BB49" i="5"/>
  <c r="AY49" i="5"/>
  <c r="AV49" i="5"/>
  <c r="AS49" i="5"/>
  <c r="AP49" i="5"/>
  <c r="AM49" i="5"/>
  <c r="AJ49" i="5"/>
  <c r="AG49" i="5"/>
  <c r="AD49" i="5"/>
  <c r="AA49" i="5"/>
  <c r="X49" i="5"/>
  <c r="U49" i="5"/>
  <c r="R49" i="5"/>
  <c r="O49" i="5"/>
  <c r="L49" i="5"/>
  <c r="I49" i="5"/>
  <c r="CO44" i="5" l="1"/>
  <c r="CL44" i="5"/>
  <c r="CI44" i="5"/>
  <c r="CF44" i="5"/>
  <c r="CC44" i="5"/>
  <c r="BZ44" i="5"/>
  <c r="BW44" i="5"/>
  <c r="BT44" i="5"/>
  <c r="BQ44" i="5"/>
  <c r="BN44" i="5"/>
  <c r="BK44" i="5"/>
  <c r="BH44" i="5"/>
  <c r="BE44" i="5"/>
  <c r="BB44" i="5"/>
  <c r="AY44" i="5"/>
  <c r="AV44" i="5"/>
  <c r="AS44" i="5"/>
  <c r="AP44" i="5"/>
  <c r="AM44" i="5"/>
  <c r="AJ44" i="5"/>
  <c r="AG44" i="5"/>
  <c r="AD44" i="5"/>
  <c r="AA44" i="5"/>
  <c r="X44" i="5"/>
  <c r="U44" i="5"/>
  <c r="R44" i="5"/>
  <c r="O44" i="5"/>
  <c r="L44" i="5"/>
  <c r="I44" i="5"/>
  <c r="CO37" i="5"/>
  <c r="CL37" i="5"/>
  <c r="CI37" i="5"/>
  <c r="CF37" i="5"/>
  <c r="CC37" i="5"/>
  <c r="BZ37" i="5"/>
  <c r="BW37" i="5"/>
  <c r="BT37" i="5"/>
  <c r="BQ37" i="5"/>
  <c r="BN37" i="5"/>
  <c r="BK37" i="5"/>
  <c r="BH37" i="5"/>
  <c r="BE37" i="5"/>
  <c r="BB37" i="5"/>
  <c r="AY37" i="5"/>
  <c r="AV37" i="5"/>
  <c r="AS37" i="5"/>
  <c r="AP37" i="5"/>
  <c r="AM37" i="5"/>
  <c r="AJ37" i="5"/>
  <c r="AG37" i="5"/>
  <c r="AD37" i="5"/>
  <c r="AA37" i="5"/>
  <c r="X37" i="5"/>
  <c r="U37" i="5"/>
  <c r="R37" i="5"/>
  <c r="O37" i="5"/>
  <c r="L37" i="5"/>
  <c r="I37" i="5"/>
  <c r="CO29" i="5"/>
  <c r="CL29" i="5"/>
  <c r="CI29" i="5"/>
  <c r="CF29" i="5"/>
  <c r="CC29" i="5"/>
  <c r="BZ29" i="5"/>
  <c r="BW29" i="5"/>
  <c r="BT29" i="5"/>
  <c r="BQ29" i="5"/>
  <c r="BN29" i="5"/>
  <c r="BK29" i="5"/>
  <c r="BH29" i="5"/>
  <c r="BE29" i="5"/>
  <c r="BB29" i="5"/>
  <c r="AY29" i="5"/>
  <c r="AV29" i="5"/>
  <c r="AS29" i="5"/>
  <c r="AP29" i="5"/>
  <c r="AM29" i="5"/>
  <c r="AJ29" i="5"/>
  <c r="AG29" i="5"/>
  <c r="AD29" i="5"/>
  <c r="AA29" i="5"/>
  <c r="X29" i="5"/>
  <c r="U29" i="5"/>
  <c r="R29" i="5"/>
  <c r="O29" i="5"/>
  <c r="L29" i="5"/>
  <c r="I29" i="5"/>
  <c r="CO15" i="5"/>
  <c r="CO13" i="5"/>
  <c r="CL15" i="5"/>
  <c r="CL13" i="5"/>
  <c r="CI15" i="5"/>
  <c r="CI13" i="5"/>
  <c r="CF15" i="5"/>
  <c r="CF13" i="5"/>
  <c r="CC15" i="5"/>
  <c r="CC13" i="5"/>
  <c r="BZ15" i="5"/>
  <c r="BZ13" i="5"/>
  <c r="BW15" i="5"/>
  <c r="BW13" i="5"/>
  <c r="BT15" i="5"/>
  <c r="BT13" i="5"/>
  <c r="BQ15" i="5"/>
  <c r="BQ13" i="5"/>
  <c r="BN15" i="5"/>
  <c r="BN13" i="5"/>
  <c r="BK15" i="5"/>
  <c r="BK13" i="5"/>
  <c r="BH15" i="5"/>
  <c r="BH13" i="5"/>
  <c r="BE15" i="5"/>
  <c r="BE13" i="5"/>
  <c r="BB15" i="5"/>
  <c r="BB13" i="5"/>
  <c r="AY15" i="5"/>
  <c r="AY13" i="5"/>
  <c r="AV15" i="5"/>
  <c r="AV13" i="5"/>
  <c r="AS15" i="5"/>
  <c r="AS13" i="5"/>
  <c r="AP15" i="5"/>
  <c r="AP13" i="5"/>
  <c r="AM15" i="5"/>
  <c r="AM13" i="5"/>
  <c r="AJ15" i="5"/>
  <c r="AJ13" i="5"/>
  <c r="AG15" i="5"/>
  <c r="AG13" i="5"/>
  <c r="AD15" i="5"/>
  <c r="AD13" i="5"/>
  <c r="AA15" i="5"/>
  <c r="AA13" i="5"/>
  <c r="X15" i="5"/>
  <c r="X13" i="5"/>
  <c r="U15" i="5"/>
  <c r="U13" i="5"/>
  <c r="R15" i="5"/>
  <c r="R13" i="5"/>
  <c r="O15" i="5"/>
  <c r="O13" i="5"/>
  <c r="L15" i="5"/>
  <c r="L13" i="5"/>
  <c r="I15" i="5"/>
  <c r="I13" i="5"/>
  <c r="F88" i="5" l="1"/>
  <c r="F83" i="5"/>
  <c r="F78" i="5"/>
  <c r="F52" i="5"/>
  <c r="F49" i="5"/>
  <c r="F44" i="5"/>
  <c r="F29" i="5"/>
  <c r="F37" i="5"/>
  <c r="F15" i="5"/>
  <c r="F13" i="5"/>
  <c r="I57" i="5" l="1"/>
  <c r="I91" i="5" s="1"/>
  <c r="O57" i="5"/>
  <c r="O91" i="5" s="1"/>
  <c r="R57" i="5"/>
  <c r="R91" i="5" s="1"/>
  <c r="X57" i="5"/>
  <c r="X91" i="5" s="1"/>
  <c r="AA57" i="5"/>
  <c r="AA91" i="5" s="1"/>
  <c r="AG57" i="5"/>
  <c r="AG91" i="5" s="1"/>
  <c r="AJ57" i="5"/>
  <c r="AJ91" i="5" s="1"/>
  <c r="AP57" i="5"/>
  <c r="AP91" i="5" s="1"/>
  <c r="AS57" i="5"/>
  <c r="AS91" i="5" s="1"/>
  <c r="AY57" i="5"/>
  <c r="AY91" i="5" s="1"/>
  <c r="BB57" i="5"/>
  <c r="BB91" i="5" s="1"/>
  <c r="BH57" i="5"/>
  <c r="BH91" i="5" s="1"/>
  <c r="BK57" i="5"/>
  <c r="BK91" i="5" s="1"/>
  <c r="BQ57" i="5"/>
  <c r="BQ91" i="5" s="1"/>
  <c r="BT57" i="5"/>
  <c r="BT91" i="5" s="1"/>
  <c r="BZ57" i="5"/>
  <c r="BZ91" i="5" s="1"/>
  <c r="CC57" i="5"/>
  <c r="CC91" i="5" s="1"/>
  <c r="CI57" i="5"/>
  <c r="CI91" i="5" s="1"/>
  <c r="CL57" i="5"/>
  <c r="CL91" i="5" s="1"/>
  <c r="CL90" i="5" l="1"/>
  <c r="J35" i="9"/>
  <c r="CI90" i="5"/>
  <c r="J34" i="9"/>
  <c r="CC90" i="5"/>
  <c r="J32" i="9"/>
  <c r="BZ90" i="5"/>
  <c r="J31" i="9"/>
  <c r="BT90" i="5"/>
  <c r="J29" i="9"/>
  <c r="BK90" i="5"/>
  <c r="J26" i="9"/>
  <c r="BH90" i="5"/>
  <c r="J25" i="9"/>
  <c r="BB90" i="5"/>
  <c r="J23" i="9"/>
  <c r="AY90" i="5"/>
  <c r="J22" i="9"/>
  <c r="AS90" i="5"/>
  <c r="J20" i="9"/>
  <c r="AP90" i="5"/>
  <c r="J19" i="9"/>
  <c r="AJ90" i="5"/>
  <c r="J17" i="9"/>
  <c r="AG90" i="5"/>
  <c r="J16" i="9"/>
  <c r="AA90" i="5"/>
  <c r="J14" i="9"/>
  <c r="R90" i="5"/>
  <c r="J11" i="9"/>
  <c r="X90" i="5"/>
  <c r="J13" i="9"/>
  <c r="BQ90" i="5"/>
  <c r="J28" i="9"/>
  <c r="O90" i="5"/>
  <c r="J10" i="9"/>
  <c r="I90" i="5"/>
  <c r="J8" i="9"/>
  <c r="BW57" i="5"/>
  <c r="BW91" i="5" s="1"/>
  <c r="AM57" i="5"/>
  <c r="AM91" i="5" s="1"/>
  <c r="BN57" i="5"/>
  <c r="BN91" i="5" s="1"/>
  <c r="AD57" i="5"/>
  <c r="AD91" i="5" s="1"/>
  <c r="CO57" i="5"/>
  <c r="CO91" i="5" s="1"/>
  <c r="BE57" i="5"/>
  <c r="BE91" i="5" s="1"/>
  <c r="U57" i="5"/>
  <c r="U91" i="5" s="1"/>
  <c r="CF57" i="5"/>
  <c r="CF91" i="5" s="1"/>
  <c r="AV57" i="5"/>
  <c r="AV91" i="5" s="1"/>
  <c r="L57" i="5"/>
  <c r="L91" i="5" s="1"/>
  <c r="F57" i="5"/>
  <c r="J7" i="9" l="1"/>
  <c r="F91" i="5"/>
  <c r="F90" i="5" s="1"/>
  <c r="CO90" i="5"/>
  <c r="J36" i="9"/>
  <c r="CF90" i="5"/>
  <c r="J33" i="9"/>
  <c r="BW90" i="5"/>
  <c r="J30" i="9"/>
  <c r="BE90" i="5"/>
  <c r="J24" i="9"/>
  <c r="AV90" i="5"/>
  <c r="J21" i="9"/>
  <c r="AM90" i="5"/>
  <c r="J18" i="9"/>
  <c r="AD90" i="5"/>
  <c r="J15" i="9"/>
  <c r="U90" i="5"/>
  <c r="J12" i="9"/>
  <c r="BN90" i="5"/>
  <c r="J27" i="9"/>
  <c r="L90" i="5"/>
  <c r="J9" i="9"/>
  <c r="CO12" i="5" l="1"/>
  <c r="CO11" i="5"/>
  <c r="CO10" i="5"/>
  <c r="CO9" i="5"/>
  <c r="CO8" i="5"/>
  <c r="CO95" i="5" s="1"/>
  <c r="CL12" i="5"/>
  <c r="CL11" i="5"/>
  <c r="CL10" i="5"/>
  <c r="CL9" i="5"/>
  <c r="CL8" i="5"/>
  <c r="CL95" i="5" s="1"/>
  <c r="CI12" i="5"/>
  <c r="CI11" i="5"/>
  <c r="CI10" i="5"/>
  <c r="CI9" i="5"/>
  <c r="CI8" i="5"/>
  <c r="CI95" i="5" s="1"/>
  <c r="CF10" i="5"/>
  <c r="CF12" i="5"/>
  <c r="CF11" i="5"/>
  <c r="CF9" i="5"/>
  <c r="CF8" i="5"/>
  <c r="CF95" i="5" s="1"/>
  <c r="CC12" i="5"/>
  <c r="CC11" i="5"/>
  <c r="CC10" i="5"/>
  <c r="CC9" i="5"/>
  <c r="CC8" i="5"/>
  <c r="CC95" i="5" s="1"/>
  <c r="BZ12" i="5"/>
  <c r="BZ11" i="5"/>
  <c r="BZ10" i="5"/>
  <c r="BZ9" i="5"/>
  <c r="BZ8" i="5"/>
  <c r="BZ95" i="5" s="1"/>
  <c r="BW12" i="5"/>
  <c r="BW11" i="5"/>
  <c r="BW10" i="5"/>
  <c r="BW9" i="5"/>
  <c r="BW8" i="5"/>
  <c r="BW95" i="5" s="1"/>
  <c r="BT12" i="5"/>
  <c r="BT11" i="5"/>
  <c r="BT10" i="5"/>
  <c r="BT9" i="5"/>
  <c r="BT8" i="5"/>
  <c r="BT95" i="5" s="1"/>
  <c r="BQ12" i="5"/>
  <c r="BQ11" i="5"/>
  <c r="BQ10" i="5"/>
  <c r="BQ9" i="5"/>
  <c r="BQ8" i="5"/>
  <c r="BQ95" i="5" s="1"/>
  <c r="BN12" i="5"/>
  <c r="BN11" i="5"/>
  <c r="BN10" i="5"/>
  <c r="BN9" i="5"/>
  <c r="BN8" i="5"/>
  <c r="BN95" i="5" s="1"/>
  <c r="BK12" i="5"/>
  <c r="BK11" i="5"/>
  <c r="BK10" i="5"/>
  <c r="BK9" i="5"/>
  <c r="BK8" i="5"/>
  <c r="BK95" i="5" s="1"/>
  <c r="BH12" i="5"/>
  <c r="BH11" i="5"/>
  <c r="BH10" i="5"/>
  <c r="BH9" i="5"/>
  <c r="BH8" i="5"/>
  <c r="BH95" i="5" s="1"/>
  <c r="BE12" i="5"/>
  <c r="BE11" i="5"/>
  <c r="BE10" i="5"/>
  <c r="BE9" i="5"/>
  <c r="BE8" i="5"/>
  <c r="BE95" i="5" s="1"/>
  <c r="BB12" i="5"/>
  <c r="BB11" i="5"/>
  <c r="BB10" i="5"/>
  <c r="BB9" i="5"/>
  <c r="BB8" i="5"/>
  <c r="BB95" i="5" s="1"/>
  <c r="AY12" i="5"/>
  <c r="AY11" i="5"/>
  <c r="AY10" i="5"/>
  <c r="AY9" i="5"/>
  <c r="AY8" i="5"/>
  <c r="AY95" i="5" s="1"/>
  <c r="AV12" i="5"/>
  <c r="AV11" i="5"/>
  <c r="AV10" i="5"/>
  <c r="AV9" i="5"/>
  <c r="AV8" i="5"/>
  <c r="AV95" i="5" s="1"/>
  <c r="AS11" i="5"/>
  <c r="AS10" i="5"/>
  <c r="AS9" i="5"/>
  <c r="AS8" i="5"/>
  <c r="AS95" i="5" s="1"/>
  <c r="AS12" i="5"/>
  <c r="AP12" i="5"/>
  <c r="AP11" i="5"/>
  <c r="AP10" i="5"/>
  <c r="AP9" i="5"/>
  <c r="AP8" i="5"/>
  <c r="AP95" i="5" s="1"/>
  <c r="AM12" i="5"/>
  <c r="AM11" i="5"/>
  <c r="AM10" i="5"/>
  <c r="AM9" i="5"/>
  <c r="AM8" i="5"/>
  <c r="AM95" i="5" s="1"/>
  <c r="AJ12" i="5"/>
  <c r="AJ11" i="5"/>
  <c r="AJ10" i="5"/>
  <c r="AJ9" i="5"/>
  <c r="AJ8" i="5"/>
  <c r="AG12" i="5"/>
  <c r="AG11" i="5"/>
  <c r="AG10" i="5"/>
  <c r="AG9" i="5"/>
  <c r="AG8" i="5"/>
  <c r="AD12" i="5"/>
  <c r="AD11" i="5"/>
  <c r="AD10" i="5"/>
  <c r="AD9" i="5"/>
  <c r="AD8" i="5"/>
  <c r="AA12" i="5"/>
  <c r="AA11" i="5"/>
  <c r="AA10" i="5"/>
  <c r="AA9" i="5"/>
  <c r="AA8" i="5"/>
  <c r="X12" i="5"/>
  <c r="X11" i="5"/>
  <c r="X10" i="5"/>
  <c r="X9" i="5"/>
  <c r="X8" i="5"/>
  <c r="U12" i="5"/>
  <c r="U11" i="5"/>
  <c r="U10" i="5"/>
  <c r="U9" i="5"/>
  <c r="U8" i="5"/>
  <c r="R12" i="5"/>
  <c r="R11" i="5"/>
  <c r="R10" i="5"/>
  <c r="R9" i="5"/>
  <c r="R8" i="5"/>
  <c r="O12" i="5"/>
  <c r="O11" i="5"/>
  <c r="O10" i="5"/>
  <c r="O9" i="5"/>
  <c r="O8" i="5"/>
  <c r="L12" i="5"/>
  <c r="L11" i="5"/>
  <c r="L10" i="5"/>
  <c r="L9" i="5"/>
  <c r="L8" i="5"/>
  <c r="I12" i="5"/>
  <c r="I11" i="5"/>
  <c r="I10" i="5"/>
  <c r="I9" i="5"/>
  <c r="I8" i="5"/>
  <c r="F9" i="5"/>
  <c r="F10" i="5"/>
  <c r="F11" i="5"/>
  <c r="F12" i="5"/>
  <c r="F8" i="5"/>
  <c r="X95" i="5" l="1"/>
  <c r="AA95" i="5"/>
  <c r="AJ95" i="5"/>
  <c r="AG95" i="5"/>
  <c r="AD95" i="5"/>
  <c r="U95" i="5"/>
  <c r="R95" i="5"/>
  <c r="O95" i="5"/>
  <c r="L95" i="5"/>
  <c r="I95" i="5"/>
  <c r="F95" i="5"/>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X6" i="5" l="1"/>
  <c r="A12" i="8" s="1"/>
  <c r="H6" i="7"/>
  <c r="AV6" i="5"/>
  <c r="P6" i="7"/>
  <c r="BE6" i="5"/>
  <c r="S6" i="7"/>
  <c r="AY6" i="5"/>
  <c r="Q6" i="7"/>
  <c r="CF6" i="5"/>
  <c r="AB6" i="7"/>
  <c r="BW6" i="5"/>
  <c r="Y6" i="7"/>
  <c r="AD6" i="5"/>
  <c r="J6" i="7"/>
  <c r="AG6" i="5"/>
  <c r="K6" i="7"/>
  <c r="AJ6" i="5"/>
  <c r="L6" i="7"/>
  <c r="AM6" i="5"/>
  <c r="M6" i="7"/>
  <c r="BK6" i="5"/>
  <c r="U6" i="7"/>
  <c r="CI6" i="5"/>
  <c r="AC6" i="7"/>
  <c r="BT6" i="5"/>
  <c r="X6" i="7"/>
  <c r="I6" i="5"/>
  <c r="A7" i="8" s="1"/>
  <c r="C6" i="7"/>
  <c r="O6" i="5"/>
  <c r="E6" i="7"/>
  <c r="AP6" i="5"/>
  <c r="N6" i="7"/>
  <c r="CL6" i="5"/>
  <c r="AD6" i="7"/>
  <c r="AA6" i="5"/>
  <c r="A13" i="8" s="1"/>
  <c r="I6" i="7"/>
  <c r="BB6" i="5"/>
  <c r="R6" i="7"/>
  <c r="CC6" i="5"/>
  <c r="AA6" i="7"/>
  <c r="BH6" i="5"/>
  <c r="T6" i="7"/>
  <c r="R6" i="5"/>
  <c r="A10" i="8" s="1"/>
  <c r="F6" i="7"/>
  <c r="BN6" i="5"/>
  <c r="V6" i="7"/>
  <c r="AS6" i="5"/>
  <c r="O6" i="7"/>
  <c r="BQ6" i="5"/>
  <c r="W6" i="7"/>
  <c r="CO6" i="5"/>
  <c r="AE6" i="7"/>
  <c r="L6" i="5"/>
  <c r="D6" i="7"/>
  <c r="BZ6" i="5"/>
  <c r="Z6" i="7"/>
  <c r="U6" i="5"/>
  <c r="A11" i="8" s="1"/>
  <c r="G6" i="7"/>
  <c r="B6" i="7"/>
  <c r="I7" i="8" l="1"/>
  <c r="G7" i="8"/>
  <c r="F7" i="8"/>
  <c r="D7" i="8"/>
  <c r="E7" i="8"/>
  <c r="C7" i="8"/>
  <c r="H7" i="8"/>
  <c r="A8" i="8"/>
  <c r="A64" i="10"/>
  <c r="A35" i="8"/>
  <c r="A35" i="1"/>
  <c r="A62" i="10"/>
  <c r="A34" i="8"/>
  <c r="A34" i="1"/>
  <c r="A60" i="10"/>
  <c r="A33" i="8"/>
  <c r="A33" i="1"/>
  <c r="A58" i="10"/>
  <c r="A32" i="8"/>
  <c r="A32" i="1"/>
  <c r="A56" i="10"/>
  <c r="A31" i="8"/>
  <c r="A31" i="1"/>
  <c r="A54" i="10"/>
  <c r="A30" i="8"/>
  <c r="A30" i="1"/>
  <c r="A52" i="10"/>
  <c r="A29" i="8"/>
  <c r="A29" i="1"/>
  <c r="A50" i="10"/>
  <c r="A28" i="8"/>
  <c r="A28" i="1"/>
  <c r="A48" i="10"/>
  <c r="A27" i="8"/>
  <c r="A27" i="1"/>
  <c r="A46" i="10"/>
  <c r="A26" i="8"/>
  <c r="A26" i="1"/>
  <c r="A44" i="10"/>
  <c r="A25" i="8"/>
  <c r="A25" i="1"/>
  <c r="A42" i="10"/>
  <c r="A24" i="8"/>
  <c r="A24" i="1"/>
  <c r="A40" i="10"/>
  <c r="A23" i="8"/>
  <c r="A23" i="1"/>
  <c r="A38" i="10"/>
  <c r="A22" i="8"/>
  <c r="A22" i="1"/>
  <c r="A36" i="10"/>
  <c r="A21" i="8"/>
  <c r="A21" i="1"/>
  <c r="A34" i="10"/>
  <c r="A20" i="8"/>
  <c r="A20" i="1"/>
  <c r="A32" i="10"/>
  <c r="A19" i="8"/>
  <c r="A19" i="1"/>
  <c r="A30" i="10"/>
  <c r="A18" i="8"/>
  <c r="A18" i="1"/>
  <c r="A28" i="10"/>
  <c r="A17" i="8"/>
  <c r="A17" i="1"/>
  <c r="A26" i="10"/>
  <c r="A16" i="8"/>
  <c r="A16" i="1"/>
  <c r="A24" i="10"/>
  <c r="A15" i="8"/>
  <c r="A15" i="1"/>
  <c r="A22" i="10"/>
  <c r="A14" i="8"/>
  <c r="H14" i="8" s="1"/>
  <c r="A14" i="1"/>
  <c r="D13" i="8"/>
  <c r="D12" i="8"/>
  <c r="C11" i="8"/>
  <c r="C13" i="8"/>
  <c r="C12" i="8"/>
  <c r="I10" i="8"/>
  <c r="I11" i="8"/>
  <c r="H10" i="8"/>
  <c r="I14" i="8"/>
  <c r="I13" i="8"/>
  <c r="I12" i="8"/>
  <c r="H11" i="8"/>
  <c r="G10" i="8"/>
  <c r="H13" i="8"/>
  <c r="H12" i="8"/>
  <c r="G11" i="8"/>
  <c r="F10" i="8"/>
  <c r="G14" i="8"/>
  <c r="G13" i="8"/>
  <c r="G12" i="8"/>
  <c r="F11" i="8"/>
  <c r="E10" i="8"/>
  <c r="F14" i="8"/>
  <c r="F13" i="8"/>
  <c r="F12" i="8"/>
  <c r="E11" i="8"/>
  <c r="D10" i="8"/>
  <c r="E13" i="8"/>
  <c r="E12" i="8"/>
  <c r="D11" i="8"/>
  <c r="C10" i="8"/>
  <c r="A9" i="8"/>
  <c r="A20" i="10"/>
  <c r="A13" i="1"/>
  <c r="A18" i="10"/>
  <c r="A12" i="1"/>
  <c r="A16" i="10"/>
  <c r="A11" i="1"/>
  <c r="A14" i="10"/>
  <c r="A10" i="1"/>
  <c r="A12" i="10"/>
  <c r="A9" i="1"/>
  <c r="A10" i="10"/>
  <c r="A8" i="1"/>
  <c r="A8" i="10"/>
  <c r="A7" i="1"/>
  <c r="F6" i="5"/>
  <c r="O76" i="7" s="1"/>
  <c r="C14" i="8" l="1"/>
  <c r="E14" i="8"/>
  <c r="G8" i="10"/>
  <c r="L8" i="10"/>
  <c r="G10" i="10"/>
  <c r="L10" i="10"/>
  <c r="G12" i="10"/>
  <c r="L12" i="10"/>
  <c r="G14" i="10"/>
  <c r="L14" i="10"/>
  <c r="G16" i="10"/>
  <c r="L16" i="10"/>
  <c r="G18" i="10"/>
  <c r="L18" i="10"/>
  <c r="G20" i="10"/>
  <c r="L20" i="10"/>
  <c r="G22" i="10"/>
  <c r="L22" i="10"/>
  <c r="G24" i="10"/>
  <c r="L24" i="10"/>
  <c r="G26" i="10"/>
  <c r="L26" i="10"/>
  <c r="K28" i="10"/>
  <c r="G28" i="10"/>
  <c r="L28" i="10"/>
  <c r="K30" i="10"/>
  <c r="G30" i="10"/>
  <c r="L30" i="10"/>
  <c r="K34" i="10"/>
  <c r="G34" i="10"/>
  <c r="L34" i="10"/>
  <c r="K36" i="10"/>
  <c r="G36" i="10"/>
  <c r="L36" i="10"/>
  <c r="K38" i="10"/>
  <c r="G38" i="10"/>
  <c r="L38" i="10"/>
  <c r="K40" i="10"/>
  <c r="G40" i="10"/>
  <c r="L40" i="10"/>
  <c r="K42" i="10"/>
  <c r="G42" i="10"/>
  <c r="L42" i="10"/>
  <c r="K44" i="10"/>
  <c r="G44" i="10"/>
  <c r="L44" i="10"/>
  <c r="K46" i="10"/>
  <c r="G46" i="10"/>
  <c r="L46" i="10"/>
  <c r="K48" i="10"/>
  <c r="G48" i="10"/>
  <c r="L48" i="10"/>
  <c r="K50" i="10"/>
  <c r="G50" i="10"/>
  <c r="L50" i="10"/>
  <c r="K52" i="10"/>
  <c r="G52" i="10"/>
  <c r="L52" i="10"/>
  <c r="K54" i="10"/>
  <c r="G54" i="10"/>
  <c r="L54" i="10"/>
  <c r="K56" i="10"/>
  <c r="G56" i="10"/>
  <c r="L56" i="10"/>
  <c r="K58" i="10"/>
  <c r="G58" i="10"/>
  <c r="L58" i="10"/>
  <c r="K60" i="10"/>
  <c r="G60" i="10"/>
  <c r="L60" i="10"/>
  <c r="K62" i="10"/>
  <c r="G62" i="10"/>
  <c r="L62" i="10"/>
  <c r="K64" i="10"/>
  <c r="G64" i="10"/>
  <c r="L64" i="10"/>
  <c r="K32" i="10"/>
  <c r="G32" i="10"/>
  <c r="L32" i="10"/>
  <c r="K8" i="10"/>
  <c r="K18" i="10"/>
  <c r="K10" i="10"/>
  <c r="K20" i="10"/>
  <c r="K12" i="10"/>
  <c r="B9" i="8"/>
  <c r="K14" i="10"/>
  <c r="K26" i="10"/>
  <c r="D14" i="8"/>
  <c r="B14" i="8"/>
  <c r="K16" i="10"/>
  <c r="K22" i="10"/>
  <c r="B8" i="8"/>
  <c r="B12" i="8"/>
  <c r="B13" i="8"/>
  <c r="B7" i="8"/>
  <c r="K24" i="10"/>
  <c r="B11" i="8"/>
  <c r="B10" i="8"/>
  <c r="AE72" i="7"/>
  <c r="AE51" i="7"/>
  <c r="H73" i="7"/>
  <c r="H49" i="7"/>
  <c r="AB71" i="7"/>
  <c r="AB73" i="7"/>
  <c r="L71" i="7"/>
  <c r="L73" i="7"/>
  <c r="X76" i="7"/>
  <c r="X72" i="7"/>
  <c r="AD50" i="7"/>
  <c r="AD72" i="7"/>
  <c r="T47" i="7"/>
  <c r="T74" i="7"/>
  <c r="T75" i="7"/>
  <c r="W69" i="7"/>
  <c r="W68" i="7"/>
  <c r="G72" i="7"/>
  <c r="G51" i="7"/>
  <c r="B67" i="7"/>
  <c r="B70" i="7"/>
  <c r="Y48" i="7"/>
  <c r="Y69" i="7"/>
  <c r="I76" i="7"/>
  <c r="I69" i="7"/>
  <c r="AA66" i="7"/>
  <c r="AA71" i="7"/>
  <c r="M50" i="7"/>
  <c r="M71" i="7"/>
  <c r="F70" i="7"/>
  <c r="F66" i="7"/>
  <c r="F73" i="7"/>
  <c r="N66" i="7"/>
  <c r="N65" i="7"/>
  <c r="P50" i="7"/>
  <c r="P66" i="7"/>
  <c r="C68" i="7"/>
  <c r="C67" i="7"/>
  <c r="K51" i="7"/>
  <c r="K50" i="7"/>
  <c r="S74" i="7"/>
  <c r="S70" i="7"/>
  <c r="J74" i="7"/>
  <c r="J51" i="7"/>
  <c r="U67" i="7"/>
  <c r="U69" i="7"/>
  <c r="E50" i="7"/>
  <c r="E71" i="7"/>
  <c r="E70" i="7"/>
  <c r="R65" i="7"/>
  <c r="R68" i="7"/>
  <c r="V49" i="7"/>
  <c r="V48" i="7"/>
  <c r="D71" i="7"/>
  <c r="D70" i="7"/>
  <c r="AC72" i="7"/>
  <c r="AC76" i="7"/>
  <c r="Z71" i="7"/>
  <c r="Z67" i="7"/>
  <c r="Q68" i="7"/>
  <c r="Q47" i="7"/>
  <c r="O65" i="7"/>
  <c r="O69" i="7"/>
  <c r="AE69" i="7"/>
  <c r="AE68" i="7"/>
  <c r="H50" i="7"/>
  <c r="H66" i="7"/>
  <c r="AB51" i="7"/>
  <c r="AB70" i="7"/>
  <c r="L74" i="7"/>
  <c r="L70" i="7"/>
  <c r="X48" i="7"/>
  <c r="X70" i="7"/>
  <c r="AD67" i="7"/>
  <c r="AD71" i="7"/>
  <c r="T72" i="7"/>
  <c r="T48" i="7"/>
  <c r="W50" i="7"/>
  <c r="W67" i="7"/>
  <c r="W76" i="7"/>
  <c r="G67" i="7"/>
  <c r="G68" i="7"/>
  <c r="B48" i="7"/>
  <c r="B51" i="7"/>
  <c r="Y70" i="7"/>
  <c r="Y65" i="7"/>
  <c r="I70" i="7"/>
  <c r="I48" i="7"/>
  <c r="AA74" i="7"/>
  <c r="AA70" i="7"/>
  <c r="M67" i="7"/>
  <c r="M51" i="7"/>
  <c r="F50" i="7"/>
  <c r="F74" i="7"/>
  <c r="N47" i="7"/>
  <c r="N74" i="7"/>
  <c r="N73" i="7"/>
  <c r="P67" i="7"/>
  <c r="P74" i="7"/>
  <c r="C76" i="7"/>
  <c r="C75" i="7"/>
  <c r="K68" i="7"/>
  <c r="K67" i="7"/>
  <c r="S51" i="7"/>
  <c r="S50" i="7"/>
  <c r="J71" i="7"/>
  <c r="J50" i="7"/>
  <c r="U75" i="7"/>
  <c r="U51" i="7"/>
  <c r="E67" i="7"/>
  <c r="E69" i="7"/>
  <c r="R49" i="7"/>
  <c r="R73" i="7"/>
  <c r="R69" i="7"/>
  <c r="V66" i="7"/>
  <c r="V65" i="7"/>
  <c r="D51" i="7"/>
  <c r="D50" i="7"/>
  <c r="AC49" i="7"/>
  <c r="AC48" i="7"/>
  <c r="Z76" i="7"/>
  <c r="Z75" i="7"/>
  <c r="Q76" i="7"/>
  <c r="Q72" i="7"/>
  <c r="O73" i="7"/>
  <c r="O49" i="7"/>
  <c r="AE48" i="7"/>
  <c r="AE49" i="7"/>
  <c r="AE76" i="7"/>
  <c r="H67" i="7"/>
  <c r="H74" i="7"/>
  <c r="AB68" i="7"/>
  <c r="AB50" i="7"/>
  <c r="L51" i="7"/>
  <c r="L49" i="7"/>
  <c r="X65" i="7"/>
  <c r="X69" i="7"/>
  <c r="AD75" i="7"/>
  <c r="AD51" i="7"/>
  <c r="T69" i="7"/>
  <c r="T65" i="7"/>
  <c r="W48" i="7"/>
  <c r="W49" i="7"/>
  <c r="G48" i="7"/>
  <c r="G69" i="7"/>
  <c r="G76" i="7"/>
  <c r="B68" i="7"/>
  <c r="B71" i="7"/>
  <c r="Y73" i="7"/>
  <c r="Y49" i="7"/>
  <c r="I65" i="7"/>
  <c r="I47" i="7"/>
  <c r="AA51" i="7"/>
  <c r="AA50" i="7"/>
  <c r="M75" i="7"/>
  <c r="M68" i="7"/>
  <c r="F67" i="7"/>
  <c r="F71" i="7"/>
  <c r="N70" i="7"/>
  <c r="N72" i="7"/>
  <c r="P51" i="7"/>
  <c r="P75" i="7"/>
  <c r="P71" i="7"/>
  <c r="C71" i="7"/>
  <c r="C47" i="7"/>
  <c r="K76" i="7"/>
  <c r="K75" i="7"/>
  <c r="S68" i="7"/>
  <c r="S67" i="7"/>
  <c r="J48" i="7"/>
  <c r="J67" i="7"/>
  <c r="U47" i="7"/>
  <c r="U68" i="7"/>
  <c r="E75" i="7"/>
  <c r="E51" i="7"/>
  <c r="R66" i="7"/>
  <c r="R70" i="7"/>
  <c r="V70" i="7"/>
  <c r="V74" i="7"/>
  <c r="V73" i="7"/>
  <c r="D68" i="7"/>
  <c r="D67" i="7"/>
  <c r="AC66" i="7"/>
  <c r="AC65" i="7"/>
  <c r="Z48" i="7"/>
  <c r="Z68" i="7"/>
  <c r="Q70" i="7"/>
  <c r="Q65" i="7"/>
  <c r="O67" i="7"/>
  <c r="O66" i="7"/>
  <c r="AE65" i="7"/>
  <c r="AE66" i="7"/>
  <c r="H51" i="7"/>
  <c r="H75" i="7"/>
  <c r="H71" i="7"/>
  <c r="AB76" i="7"/>
  <c r="AB67" i="7"/>
  <c r="L68" i="7"/>
  <c r="L50" i="7"/>
  <c r="X73" i="7"/>
  <c r="X49" i="7"/>
  <c r="AD69" i="7"/>
  <c r="AD68" i="7"/>
  <c r="T71" i="7"/>
  <c r="T73" i="7"/>
  <c r="W65" i="7"/>
  <c r="W66" i="7"/>
  <c r="G65" i="7"/>
  <c r="G75" i="7"/>
  <c r="B65" i="7"/>
  <c r="B76" i="7"/>
  <c r="B72" i="7"/>
  <c r="Y50" i="7"/>
  <c r="Y66" i="7"/>
  <c r="I73" i="7"/>
  <c r="I49" i="7"/>
  <c r="AA68" i="7"/>
  <c r="AA67" i="7"/>
  <c r="M47" i="7"/>
  <c r="M76" i="7"/>
  <c r="F75" i="7"/>
  <c r="F51" i="7"/>
  <c r="N50" i="7"/>
  <c r="N71" i="7"/>
  <c r="P68" i="7"/>
  <c r="P70" i="7"/>
  <c r="C69" i="7"/>
  <c r="C48" i="7"/>
  <c r="C72" i="7"/>
  <c r="K48" i="7"/>
  <c r="K47" i="7"/>
  <c r="S76" i="7"/>
  <c r="S75" i="7"/>
  <c r="J65" i="7"/>
  <c r="J75" i="7"/>
  <c r="U72" i="7"/>
  <c r="U76" i="7"/>
  <c r="E47" i="7"/>
  <c r="E68" i="7"/>
  <c r="R74" i="7"/>
  <c r="R50" i="7"/>
  <c r="V50" i="7"/>
  <c r="V71" i="7"/>
  <c r="D66" i="7"/>
  <c r="D76" i="7"/>
  <c r="D75" i="7"/>
  <c r="AC74" i="7"/>
  <c r="AC73" i="7"/>
  <c r="Z65" i="7"/>
  <c r="Z47" i="7"/>
  <c r="Q48" i="7"/>
  <c r="Q69" i="7"/>
  <c r="O75" i="7"/>
  <c r="O74" i="7"/>
  <c r="AE73" i="7"/>
  <c r="AE74" i="7"/>
  <c r="H68" i="7"/>
  <c r="H47" i="7"/>
  <c r="AB74" i="7"/>
  <c r="AB49" i="7"/>
  <c r="AB75" i="7"/>
  <c r="L76" i="7"/>
  <c r="L67" i="7"/>
  <c r="X50" i="7"/>
  <c r="X66" i="7"/>
  <c r="AD49" i="7"/>
  <c r="AD76" i="7"/>
  <c r="T66" i="7"/>
  <c r="T49" i="7"/>
  <c r="W73" i="7"/>
  <c r="W74" i="7"/>
  <c r="G73" i="7"/>
  <c r="G49" i="7"/>
  <c r="B73" i="7"/>
  <c r="B49" i="7"/>
  <c r="Y71" i="7"/>
  <c r="Y67" i="7"/>
  <c r="Y74" i="7"/>
  <c r="I50" i="7"/>
  <c r="I66" i="7"/>
  <c r="AA76" i="7"/>
  <c r="AA75" i="7"/>
  <c r="M72" i="7"/>
  <c r="M48" i="7"/>
  <c r="F69" i="7"/>
  <c r="F68" i="7"/>
  <c r="N67" i="7"/>
  <c r="N51" i="7"/>
  <c r="P76" i="7"/>
  <c r="P47" i="7"/>
  <c r="C49" i="7"/>
  <c r="C65" i="7"/>
  <c r="K69" i="7"/>
  <c r="K65" i="7"/>
  <c r="K72" i="7"/>
  <c r="S71" i="7"/>
  <c r="S47" i="7"/>
  <c r="J73" i="7"/>
  <c r="J47" i="7"/>
  <c r="U49" i="7"/>
  <c r="U48" i="7"/>
  <c r="E72" i="7"/>
  <c r="E76" i="7"/>
  <c r="R51" i="7"/>
  <c r="R67" i="7"/>
  <c r="V67" i="7"/>
  <c r="V47" i="7"/>
  <c r="D47" i="7"/>
  <c r="D74" i="7"/>
  <c r="AC50" i="7"/>
  <c r="AC69" i="7"/>
  <c r="AC70" i="7"/>
  <c r="Z73" i="7"/>
  <c r="Z72" i="7"/>
  <c r="Q50" i="7"/>
  <c r="Q49" i="7"/>
  <c r="O70" i="7"/>
  <c r="O71" i="7"/>
  <c r="AE70" i="7"/>
  <c r="AE71" i="7"/>
  <c r="H76" i="7"/>
  <c r="H72" i="7"/>
  <c r="AB47" i="7"/>
  <c r="AB66" i="7"/>
  <c r="L72" i="7"/>
  <c r="L66" i="7"/>
  <c r="L75" i="7"/>
  <c r="X67" i="7"/>
  <c r="X74" i="7"/>
  <c r="AD66" i="7"/>
  <c r="AD48" i="7"/>
  <c r="T51" i="7"/>
  <c r="T70" i="7"/>
  <c r="W70" i="7"/>
  <c r="W75" i="7"/>
  <c r="G70" i="7"/>
  <c r="G66" i="7"/>
  <c r="B66" i="7"/>
  <c r="B69" i="7"/>
  <c r="Y51" i="7"/>
  <c r="Y75" i="7"/>
  <c r="I71" i="7"/>
  <c r="I67" i="7"/>
  <c r="I74" i="7"/>
  <c r="AA48" i="7"/>
  <c r="AA47" i="7"/>
  <c r="M49" i="7"/>
  <c r="M65" i="7"/>
  <c r="F47" i="7"/>
  <c r="F76" i="7"/>
  <c r="N75" i="7"/>
  <c r="N68" i="7"/>
  <c r="P48" i="7"/>
  <c r="P72" i="7"/>
  <c r="C66" i="7"/>
  <c r="C73" i="7"/>
  <c r="K49" i="7"/>
  <c r="K73" i="7"/>
  <c r="S69" i="7"/>
  <c r="S48" i="7"/>
  <c r="S72" i="7"/>
  <c r="J68" i="7"/>
  <c r="J72" i="7"/>
  <c r="U66" i="7"/>
  <c r="U65" i="7"/>
  <c r="E49" i="7"/>
  <c r="E48" i="7"/>
  <c r="R71" i="7"/>
  <c r="R75" i="7"/>
  <c r="V75" i="7"/>
  <c r="V51" i="7"/>
  <c r="D72" i="7"/>
  <c r="D48" i="7"/>
  <c r="AC67" i="7"/>
  <c r="AC71" i="7"/>
  <c r="Z49" i="7"/>
  <c r="Z51" i="7"/>
  <c r="Z69" i="7"/>
  <c r="Q67" i="7"/>
  <c r="Q66" i="7"/>
  <c r="O47" i="7"/>
  <c r="O51" i="7"/>
  <c r="AE67" i="7"/>
  <c r="AE50" i="7"/>
  <c r="H48" i="7"/>
  <c r="H70" i="7"/>
  <c r="AB72" i="7"/>
  <c r="AB48" i="7"/>
  <c r="L47" i="7"/>
  <c r="L48" i="7"/>
  <c r="X51" i="7"/>
  <c r="X75" i="7"/>
  <c r="X71" i="7"/>
  <c r="AD74" i="7"/>
  <c r="AD65" i="7"/>
  <c r="T68" i="7"/>
  <c r="T50" i="7"/>
  <c r="W47" i="7"/>
  <c r="W71" i="7"/>
  <c r="G50" i="7"/>
  <c r="G74" i="7"/>
  <c r="B74" i="7"/>
  <c r="B75" i="7"/>
  <c r="Y68" i="7"/>
  <c r="Y72" i="7"/>
  <c r="I51" i="7"/>
  <c r="I75" i="7"/>
  <c r="AA69" i="7"/>
  <c r="AA65" i="7"/>
  <c r="AA72" i="7"/>
  <c r="M66" i="7"/>
  <c r="M73" i="7"/>
  <c r="F72" i="7"/>
  <c r="F48" i="7"/>
  <c r="N69" i="7"/>
  <c r="N76" i="7"/>
  <c r="P65" i="7"/>
  <c r="P69" i="7"/>
  <c r="C74" i="7"/>
  <c r="C70" i="7"/>
  <c r="K66" i="7"/>
  <c r="K71" i="7"/>
  <c r="S49" i="7"/>
  <c r="S65" i="7"/>
  <c r="J49" i="7"/>
  <c r="J76" i="7"/>
  <c r="J69" i="7"/>
  <c r="U74" i="7"/>
  <c r="U73" i="7"/>
  <c r="E66" i="7"/>
  <c r="E65" i="7"/>
  <c r="R76" i="7"/>
  <c r="R47" i="7"/>
  <c r="V69" i="7"/>
  <c r="V68" i="7"/>
  <c r="D49" i="7"/>
  <c r="D65" i="7"/>
  <c r="AC75" i="7"/>
  <c r="AC51" i="7"/>
  <c r="Z66" i="7"/>
  <c r="Z70" i="7"/>
  <c r="Q71" i="7"/>
  <c r="Q75" i="7"/>
  <c r="Q74" i="7"/>
  <c r="O72" i="7"/>
  <c r="O68" i="7"/>
  <c r="AE47" i="7"/>
  <c r="AE75" i="7"/>
  <c r="H65" i="7"/>
  <c r="H69" i="7"/>
  <c r="AB69" i="7"/>
  <c r="AB65" i="7"/>
  <c r="L69" i="7"/>
  <c r="L65" i="7"/>
  <c r="X68" i="7"/>
  <c r="X47" i="7"/>
  <c r="AD70" i="7"/>
  <c r="AD47" i="7"/>
  <c r="AD73" i="7"/>
  <c r="T76" i="7"/>
  <c r="T67" i="7"/>
  <c r="W72" i="7"/>
  <c r="W51" i="7"/>
  <c r="G47" i="7"/>
  <c r="G71" i="7"/>
  <c r="B47" i="7"/>
  <c r="B50" i="7"/>
  <c r="Y76" i="7"/>
  <c r="Y47" i="7"/>
  <c r="I68" i="7"/>
  <c r="I72" i="7"/>
  <c r="AA49" i="7"/>
  <c r="AA73" i="7"/>
  <c r="M69" i="7"/>
  <c r="M74" i="7"/>
  <c r="M70" i="7"/>
  <c r="F49" i="7"/>
  <c r="F65" i="7"/>
  <c r="N49" i="7"/>
  <c r="N48" i="7"/>
  <c r="P73" i="7"/>
  <c r="P49" i="7"/>
  <c r="C51" i="7"/>
  <c r="C50" i="7"/>
  <c r="K74" i="7"/>
  <c r="K70" i="7"/>
  <c r="S66" i="7"/>
  <c r="S73" i="7"/>
  <c r="J66" i="7"/>
  <c r="J70" i="7"/>
  <c r="U50" i="7"/>
  <c r="U71" i="7"/>
  <c r="U70" i="7"/>
  <c r="E74" i="7"/>
  <c r="E73" i="7"/>
  <c r="R48" i="7"/>
  <c r="R72" i="7"/>
  <c r="V72" i="7"/>
  <c r="V76" i="7"/>
  <c r="D69" i="7"/>
  <c r="D73" i="7"/>
  <c r="AC47" i="7"/>
  <c r="AC68" i="7"/>
  <c r="Z74" i="7"/>
  <c r="Z50" i="7"/>
  <c r="Q51" i="7"/>
  <c r="Q73" i="7"/>
  <c r="O48" i="7"/>
  <c r="O50" i="7"/>
  <c r="O25" i="10"/>
  <c r="Q21" i="10"/>
  <c r="O27" i="10"/>
  <c r="Q19" i="10"/>
  <c r="O17" i="10"/>
  <c r="Q29" i="10"/>
  <c r="Q31" i="10"/>
  <c r="Q33" i="10"/>
  <c r="P35" i="10"/>
  <c r="O37" i="10"/>
  <c r="P39" i="10"/>
  <c r="Q41" i="10"/>
  <c r="Q43" i="10"/>
  <c r="O45" i="10"/>
  <c r="P47" i="10"/>
  <c r="O49" i="10"/>
  <c r="P51" i="10"/>
  <c r="Q53" i="10"/>
  <c r="Q55" i="10"/>
  <c r="O57" i="10"/>
  <c r="O59" i="10"/>
  <c r="P61" i="10"/>
  <c r="P63" i="10"/>
  <c r="Q65" i="10"/>
  <c r="P37" i="10"/>
  <c r="P57" i="10"/>
  <c r="O43" i="10"/>
  <c r="P27" i="10"/>
  <c r="Q63" i="10"/>
  <c r="Q17" i="10"/>
  <c r="P49" i="10"/>
  <c r="P25" i="10"/>
  <c r="O55" i="10"/>
  <c r="O53" i="10"/>
  <c r="Q49" i="10"/>
  <c r="Q61" i="10"/>
  <c r="O35" i="10"/>
  <c r="O31" i="10"/>
  <c r="O19" i="10"/>
  <c r="O63" i="10"/>
  <c r="Q47" i="10"/>
  <c r="O33" i="10"/>
  <c r="Q45" i="10"/>
  <c r="P59" i="10"/>
  <c r="P55" i="10"/>
  <c r="Q39" i="10"/>
  <c r="P29" i="10"/>
  <c r="Q35" i="10"/>
  <c r="Q25" i="10"/>
  <c r="P17" i="10"/>
  <c r="P53" i="10"/>
  <c r="Q37" i="10"/>
  <c r="O21" i="10"/>
  <c r="O65" i="10"/>
  <c r="Q59" i="10"/>
  <c r="P45" i="10"/>
  <c r="P41" i="10"/>
  <c r="P31" i="10"/>
  <c r="O56" i="10"/>
  <c r="Q57" i="10"/>
  <c r="P43" i="10"/>
  <c r="Q27" i="10"/>
  <c r="P21" i="10"/>
  <c r="P65" i="10"/>
  <c r="O51" i="10"/>
  <c r="O47" i="10"/>
  <c r="P19" i="10"/>
  <c r="P33" i="10"/>
  <c r="O29" i="10"/>
  <c r="O41" i="10"/>
  <c r="Q51" i="10"/>
  <c r="O39" i="10"/>
  <c r="O61" i="10"/>
  <c r="Q9" i="10"/>
  <c r="P9" i="10"/>
  <c r="O9" i="10"/>
  <c r="Q8" i="10"/>
  <c r="P8" i="10"/>
  <c r="O8" i="10"/>
  <c r="R8" i="10"/>
  <c r="Q11" i="10"/>
  <c r="P11" i="10"/>
  <c r="O11" i="10"/>
  <c r="Q12" i="10"/>
  <c r="Q13" i="10"/>
  <c r="P13" i="10"/>
  <c r="O13" i="10"/>
  <c r="Q15" i="10"/>
  <c r="P15" i="10"/>
  <c r="O15" i="10"/>
  <c r="Q23" i="10"/>
  <c r="P23" i="10"/>
  <c r="O23" i="10"/>
  <c r="R12" i="10"/>
  <c r="O12" i="10"/>
  <c r="P12" i="10"/>
  <c r="R10" i="10"/>
  <c r="Q10" i="10"/>
  <c r="P10" i="10"/>
  <c r="O10" i="10"/>
  <c r="R64" i="10"/>
  <c r="Q64" i="10"/>
  <c r="P64" i="10"/>
  <c r="O64" i="10"/>
  <c r="J64" i="10"/>
  <c r="M64" i="10"/>
  <c r="I64" i="10"/>
  <c r="H64" i="10"/>
  <c r="F64" i="10"/>
  <c r="D64" i="10"/>
  <c r="C64" i="10"/>
  <c r="E64" i="10"/>
  <c r="R62" i="10"/>
  <c r="O62" i="10"/>
  <c r="Q62" i="10"/>
  <c r="P62" i="10"/>
  <c r="E62" i="10"/>
  <c r="M62" i="10"/>
  <c r="D62" i="10"/>
  <c r="C62" i="10"/>
  <c r="J62" i="10"/>
  <c r="I62" i="10"/>
  <c r="F62" i="10"/>
  <c r="H62" i="10"/>
  <c r="R60" i="10"/>
  <c r="Q60" i="10"/>
  <c r="P60" i="10"/>
  <c r="O60" i="10"/>
  <c r="H60" i="10"/>
  <c r="I60" i="10"/>
  <c r="F60" i="10"/>
  <c r="E60" i="10"/>
  <c r="C60" i="10"/>
  <c r="M60" i="10"/>
  <c r="D60" i="10"/>
  <c r="J60" i="10"/>
  <c r="R58" i="10"/>
  <c r="O58" i="10"/>
  <c r="Q58" i="10"/>
  <c r="P58" i="10"/>
  <c r="H58" i="10"/>
  <c r="F58" i="10"/>
  <c r="E58" i="10"/>
  <c r="M58" i="10"/>
  <c r="D58" i="10"/>
  <c r="C58" i="10"/>
  <c r="J58" i="10"/>
  <c r="I58" i="10"/>
  <c r="R56" i="10"/>
  <c r="Q56" i="10"/>
  <c r="P56" i="10"/>
  <c r="J56" i="10"/>
  <c r="I56" i="10"/>
  <c r="H56" i="10"/>
  <c r="M56" i="10"/>
  <c r="C56" i="10"/>
  <c r="F56" i="10"/>
  <c r="E56" i="10"/>
  <c r="D56" i="10"/>
  <c r="R54" i="10"/>
  <c r="O54" i="10"/>
  <c r="Q54" i="10"/>
  <c r="P54" i="10"/>
  <c r="E54" i="10"/>
  <c r="M54" i="10"/>
  <c r="D54" i="10"/>
  <c r="C54" i="10"/>
  <c r="I54" i="10"/>
  <c r="H54" i="10"/>
  <c r="J54" i="10"/>
  <c r="F54" i="10"/>
  <c r="R52" i="10"/>
  <c r="Q52" i="10"/>
  <c r="P52" i="10"/>
  <c r="O52" i="10"/>
  <c r="F52" i="10"/>
  <c r="D52" i="10"/>
  <c r="C52" i="10"/>
  <c r="E52" i="10"/>
  <c r="H52" i="10"/>
  <c r="M52" i="10"/>
  <c r="J52" i="10"/>
  <c r="I52" i="10"/>
  <c r="O50" i="10"/>
  <c r="R50" i="10"/>
  <c r="Q50" i="10"/>
  <c r="P50" i="10"/>
  <c r="H50" i="10"/>
  <c r="F50" i="10"/>
  <c r="E50" i="10"/>
  <c r="J50" i="10"/>
  <c r="I50" i="10"/>
  <c r="M50" i="10"/>
  <c r="D50" i="10"/>
  <c r="C50" i="10"/>
  <c r="R48" i="10"/>
  <c r="Q48" i="10"/>
  <c r="P48" i="10"/>
  <c r="O48" i="10"/>
  <c r="M48" i="10"/>
  <c r="D48" i="10"/>
  <c r="I48" i="10"/>
  <c r="H48" i="10"/>
  <c r="C48" i="10"/>
  <c r="J48" i="10"/>
  <c r="F48" i="10"/>
  <c r="E48" i="10"/>
  <c r="O46" i="10"/>
  <c r="R46" i="10"/>
  <c r="P46" i="10"/>
  <c r="Q46" i="10"/>
  <c r="F46" i="10"/>
  <c r="H46" i="10"/>
  <c r="E46" i="10"/>
  <c r="M46" i="10"/>
  <c r="D46" i="10"/>
  <c r="C46" i="10"/>
  <c r="J46" i="10"/>
  <c r="I46" i="10"/>
  <c r="R44" i="10"/>
  <c r="Q44" i="10"/>
  <c r="P44" i="10"/>
  <c r="O44" i="10"/>
  <c r="E44" i="10"/>
  <c r="C44" i="10"/>
  <c r="M44" i="10"/>
  <c r="D44" i="10"/>
  <c r="J44" i="10"/>
  <c r="F44" i="10"/>
  <c r="I44" i="10"/>
  <c r="H44" i="10"/>
  <c r="R42" i="10"/>
  <c r="Q42" i="10"/>
  <c r="P42" i="10"/>
  <c r="O42" i="10"/>
  <c r="J42" i="10"/>
  <c r="H42" i="10"/>
  <c r="I42" i="10"/>
  <c r="F42" i="10"/>
  <c r="E42" i="10"/>
  <c r="C42" i="10"/>
  <c r="M42" i="10"/>
  <c r="D42" i="10"/>
  <c r="R40" i="10"/>
  <c r="Q40" i="10"/>
  <c r="P40" i="10"/>
  <c r="O40" i="10"/>
  <c r="M40" i="10"/>
  <c r="D40" i="10"/>
  <c r="C40" i="10"/>
  <c r="J40" i="10"/>
  <c r="H40" i="10"/>
  <c r="I40" i="10"/>
  <c r="E40" i="10"/>
  <c r="F40" i="10"/>
  <c r="O38" i="10"/>
  <c r="R38" i="10"/>
  <c r="Q38" i="10"/>
  <c r="P38" i="10"/>
  <c r="F38" i="10"/>
  <c r="M38" i="10"/>
  <c r="D38" i="10"/>
  <c r="J38" i="10"/>
  <c r="C38" i="10"/>
  <c r="I38" i="10"/>
  <c r="E38" i="10"/>
  <c r="H38" i="10"/>
  <c r="R36" i="10"/>
  <c r="Q36" i="10"/>
  <c r="P36" i="10"/>
  <c r="O36" i="10"/>
  <c r="H36" i="10"/>
  <c r="F36" i="10"/>
  <c r="E36" i="10"/>
  <c r="M36" i="10"/>
  <c r="D36" i="10"/>
  <c r="C36" i="10"/>
  <c r="I36" i="10"/>
  <c r="J36" i="10"/>
  <c r="R34" i="10"/>
  <c r="Q34" i="10"/>
  <c r="P34" i="10"/>
  <c r="O34" i="10"/>
  <c r="J34" i="10"/>
  <c r="I34" i="10"/>
  <c r="H34" i="10"/>
  <c r="F34" i="10"/>
  <c r="E34" i="10"/>
  <c r="M34" i="10"/>
  <c r="D34" i="10"/>
  <c r="C34" i="10"/>
  <c r="R32" i="10"/>
  <c r="Q32" i="10"/>
  <c r="P32" i="10"/>
  <c r="O32" i="10"/>
  <c r="M32" i="10"/>
  <c r="D32" i="10"/>
  <c r="C32" i="10"/>
  <c r="E32" i="10"/>
  <c r="J32" i="10"/>
  <c r="I32" i="10"/>
  <c r="H32" i="10"/>
  <c r="F32" i="10"/>
  <c r="P30" i="10"/>
  <c r="R30" i="10"/>
  <c r="Q30" i="10"/>
  <c r="O30" i="10"/>
  <c r="M30" i="10"/>
  <c r="D30" i="10"/>
  <c r="C30" i="10"/>
  <c r="J30" i="10"/>
  <c r="F30" i="10"/>
  <c r="I30" i="10"/>
  <c r="H30" i="10"/>
  <c r="E30" i="10"/>
  <c r="R28" i="10"/>
  <c r="Q28" i="10"/>
  <c r="P28" i="10"/>
  <c r="O28" i="10"/>
  <c r="D28" i="10"/>
  <c r="F28" i="10"/>
  <c r="E28" i="10"/>
  <c r="M28" i="10"/>
  <c r="I28" i="10"/>
  <c r="C28" i="10"/>
  <c r="J28" i="10"/>
  <c r="H28" i="10"/>
  <c r="O26" i="10"/>
  <c r="R26" i="10"/>
  <c r="P26" i="10"/>
  <c r="Q26" i="10"/>
  <c r="J26" i="10"/>
  <c r="C26" i="10"/>
  <c r="I26" i="10"/>
  <c r="D26" i="10"/>
  <c r="H26" i="10"/>
  <c r="F26" i="10"/>
  <c r="M26" i="10"/>
  <c r="E26" i="10"/>
  <c r="R24" i="10"/>
  <c r="Q24" i="10"/>
  <c r="P24" i="10"/>
  <c r="O24" i="10"/>
  <c r="M24" i="10"/>
  <c r="D24" i="10"/>
  <c r="J24" i="10"/>
  <c r="E24" i="10"/>
  <c r="C24" i="10"/>
  <c r="I24" i="10"/>
  <c r="H24" i="10"/>
  <c r="F24" i="10"/>
  <c r="R22" i="10"/>
  <c r="Q22" i="10"/>
  <c r="O22" i="10"/>
  <c r="P22" i="10"/>
  <c r="F22" i="10"/>
  <c r="E22" i="10"/>
  <c r="M22" i="10"/>
  <c r="D22" i="10"/>
  <c r="C22" i="10"/>
  <c r="I22" i="10"/>
  <c r="J22" i="10"/>
  <c r="H22" i="10"/>
  <c r="R20" i="10"/>
  <c r="Q20" i="10"/>
  <c r="P20" i="10"/>
  <c r="O20" i="10"/>
  <c r="H20" i="10"/>
  <c r="I20" i="10"/>
  <c r="F20" i="10"/>
  <c r="E20" i="10"/>
  <c r="M20" i="10"/>
  <c r="D20" i="10"/>
  <c r="J20" i="10"/>
  <c r="C20" i="10"/>
  <c r="O18" i="10"/>
  <c r="R18" i="10"/>
  <c r="Q18" i="10"/>
  <c r="P18" i="10"/>
  <c r="J18" i="10"/>
  <c r="I18" i="10"/>
  <c r="H18" i="10"/>
  <c r="F18" i="10"/>
  <c r="E18" i="10"/>
  <c r="M18" i="10"/>
  <c r="D18" i="10"/>
  <c r="C18" i="10"/>
  <c r="R16" i="10"/>
  <c r="Q16" i="10"/>
  <c r="P16" i="10"/>
  <c r="O16" i="10"/>
  <c r="M16" i="10"/>
  <c r="D16" i="10"/>
  <c r="J16" i="10"/>
  <c r="I16" i="10"/>
  <c r="E16" i="10"/>
  <c r="H16" i="10"/>
  <c r="C16" i="10"/>
  <c r="F16" i="10"/>
  <c r="P14" i="10"/>
  <c r="O14" i="10"/>
  <c r="Q14" i="10"/>
  <c r="R14" i="10"/>
  <c r="M14" i="10"/>
  <c r="D14" i="10"/>
  <c r="C14" i="10"/>
  <c r="J14" i="10"/>
  <c r="I14" i="10"/>
  <c r="F14" i="10"/>
  <c r="E14" i="10"/>
  <c r="H14" i="10"/>
  <c r="E12" i="10"/>
  <c r="M12" i="10"/>
  <c r="D12" i="10"/>
  <c r="C12" i="10"/>
  <c r="J12" i="10"/>
  <c r="I12" i="10"/>
  <c r="H12" i="10"/>
  <c r="F12" i="10"/>
  <c r="E10" i="10"/>
  <c r="M10" i="10"/>
  <c r="D10" i="10"/>
  <c r="C10" i="10"/>
  <c r="J10" i="10"/>
  <c r="I10" i="10"/>
  <c r="H10" i="10"/>
  <c r="F10" i="10"/>
  <c r="B62" i="10"/>
  <c r="B46" i="10"/>
  <c r="B30" i="10"/>
  <c r="B14" i="10"/>
  <c r="B8" i="10"/>
  <c r="B56" i="10"/>
  <c r="B40" i="10"/>
  <c r="B24" i="10"/>
  <c r="J8" i="10"/>
  <c r="B50" i="10"/>
  <c r="B34" i="10"/>
  <c r="B18" i="10"/>
  <c r="I8" i="10"/>
  <c r="B60" i="10"/>
  <c r="B44" i="10"/>
  <c r="B28" i="10"/>
  <c r="B12" i="10"/>
  <c r="B54" i="10"/>
  <c r="B38" i="10"/>
  <c r="B22" i="10"/>
  <c r="F8" i="10"/>
  <c r="B64" i="10"/>
  <c r="B48" i="10"/>
  <c r="B32" i="10"/>
  <c r="B16" i="10"/>
  <c r="E8" i="10"/>
  <c r="B58" i="10"/>
  <c r="B42" i="10"/>
  <c r="B26" i="10"/>
  <c r="B10" i="10"/>
  <c r="D8" i="10"/>
  <c r="B52" i="10"/>
  <c r="B36" i="10"/>
  <c r="B20" i="10"/>
  <c r="M8" i="10"/>
  <c r="C8" i="10"/>
  <c r="H8" i="10"/>
  <c r="D35" i="1"/>
  <c r="K10" i="8"/>
  <c r="J7" i="8"/>
  <c r="K7" i="8"/>
  <c r="F10" i="1"/>
  <c r="J16" i="1"/>
  <c r="E23" i="1"/>
  <c r="H29" i="1"/>
  <c r="B9" i="1"/>
  <c r="D12" i="1"/>
  <c r="G18" i="1"/>
  <c r="K24" i="1"/>
  <c r="C31" i="1"/>
  <c r="H18" i="1"/>
  <c r="I10" i="1"/>
  <c r="D17" i="1"/>
  <c r="G23" i="1"/>
  <c r="K29" i="1"/>
  <c r="H10" i="1"/>
  <c r="F12" i="1"/>
  <c r="J18" i="1"/>
  <c r="E25" i="1"/>
  <c r="H31" i="1"/>
  <c r="H22" i="1"/>
  <c r="D14" i="1"/>
  <c r="G20" i="1"/>
  <c r="K26" i="1"/>
  <c r="C33" i="1"/>
  <c r="E10" i="1"/>
  <c r="H16" i="1"/>
  <c r="B23" i="1"/>
  <c r="F29" i="1"/>
  <c r="J35" i="1"/>
  <c r="D11" i="1"/>
  <c r="G17" i="1"/>
  <c r="K23" i="1"/>
  <c r="C30" i="1"/>
  <c r="E11" i="1"/>
  <c r="H17" i="1"/>
  <c r="B24" i="1"/>
  <c r="F30" i="1"/>
  <c r="F15" i="1"/>
  <c r="K12" i="1"/>
  <c r="C19" i="1"/>
  <c r="I25" i="1"/>
  <c r="D32" i="1"/>
  <c r="E24" i="1"/>
  <c r="G11" i="1"/>
  <c r="K17" i="1"/>
  <c r="C24" i="1"/>
  <c r="I30" i="1"/>
  <c r="E16" i="1"/>
  <c r="E13" i="1"/>
  <c r="H19" i="1"/>
  <c r="B26" i="1"/>
  <c r="F32" i="1"/>
  <c r="B29" i="1"/>
  <c r="K14" i="1"/>
  <c r="C21" i="1"/>
  <c r="I27" i="1"/>
  <c r="D34" i="1"/>
  <c r="B11" i="1"/>
  <c r="F17" i="1"/>
  <c r="J23" i="1"/>
  <c r="E30" i="1"/>
  <c r="E12" i="1"/>
  <c r="K11" i="1"/>
  <c r="C18" i="1"/>
  <c r="I24" i="1"/>
  <c r="D31" i="1"/>
  <c r="J9" i="1"/>
  <c r="B12" i="1"/>
  <c r="F18" i="1"/>
  <c r="J24" i="1"/>
  <c r="E31" i="1"/>
  <c r="B21" i="1"/>
  <c r="I13" i="1"/>
  <c r="D20" i="1"/>
  <c r="G26" i="1"/>
  <c r="K32" i="1"/>
  <c r="E28" i="1"/>
  <c r="C12" i="1"/>
  <c r="I18" i="1"/>
  <c r="D25" i="1"/>
  <c r="G31" i="1"/>
  <c r="J21" i="1"/>
  <c r="B14" i="1"/>
  <c r="F20" i="1"/>
  <c r="J26" i="1"/>
  <c r="E33" i="1"/>
  <c r="C9" i="1"/>
  <c r="I15" i="1"/>
  <c r="D22" i="1"/>
  <c r="G28" i="1"/>
  <c r="K34" i="1"/>
  <c r="J11" i="1"/>
  <c r="E18" i="1"/>
  <c r="H24" i="1"/>
  <c r="B31" i="1"/>
  <c r="J17" i="1"/>
  <c r="I12" i="1"/>
  <c r="D19" i="1"/>
  <c r="G25" i="1"/>
  <c r="K31" i="1"/>
  <c r="H14" i="1"/>
  <c r="J12" i="1"/>
  <c r="E19" i="1"/>
  <c r="H25" i="1"/>
  <c r="B32" i="1"/>
  <c r="J25" i="1"/>
  <c r="G14" i="1"/>
  <c r="K20" i="1"/>
  <c r="C27" i="1"/>
  <c r="I33" i="1"/>
  <c r="H30" i="1"/>
  <c r="D13" i="1"/>
  <c r="G19" i="1"/>
  <c r="K25" i="1"/>
  <c r="C32" i="1"/>
  <c r="J29" i="1"/>
  <c r="J14" i="1"/>
  <c r="E21" i="1"/>
  <c r="H27" i="1"/>
  <c r="B34" i="1"/>
  <c r="D10" i="1"/>
  <c r="G16" i="1"/>
  <c r="K22" i="1"/>
  <c r="C29" i="1"/>
  <c r="I35" i="1"/>
  <c r="H12" i="1"/>
  <c r="B19" i="1"/>
  <c r="F25" i="1"/>
  <c r="J31" i="1"/>
  <c r="F23" i="1"/>
  <c r="G13" i="1"/>
  <c r="K19" i="1"/>
  <c r="C26" i="1"/>
  <c r="I32" i="1"/>
  <c r="E20" i="1"/>
  <c r="H13" i="1"/>
  <c r="B20" i="1"/>
  <c r="F26" i="1"/>
  <c r="J32" i="1"/>
  <c r="B33" i="1"/>
  <c r="C15" i="1"/>
  <c r="I21" i="1"/>
  <c r="D28" i="1"/>
  <c r="G34" i="1"/>
  <c r="E32" i="1"/>
  <c r="K13" i="1"/>
  <c r="C20" i="1"/>
  <c r="I26" i="1"/>
  <c r="D33" i="1"/>
  <c r="E9" i="1"/>
  <c r="H15" i="1"/>
  <c r="B22" i="1"/>
  <c r="F28" i="1"/>
  <c r="J34" i="1"/>
  <c r="K10" i="1"/>
  <c r="C17" i="1"/>
  <c r="I23" i="1"/>
  <c r="D30" i="1"/>
  <c r="J13" i="1"/>
  <c r="F13" i="1"/>
  <c r="J19" i="1"/>
  <c r="E26" i="1"/>
  <c r="H32" i="1"/>
  <c r="F27" i="1"/>
  <c r="C14" i="1"/>
  <c r="I20" i="1"/>
  <c r="D27" i="1"/>
  <c r="G33" i="1"/>
  <c r="B25" i="1"/>
  <c r="F14" i="1"/>
  <c r="J20" i="1"/>
  <c r="E27" i="1"/>
  <c r="H33" i="1"/>
  <c r="I9" i="1"/>
  <c r="D16" i="1"/>
  <c r="G22" i="1"/>
  <c r="K28" i="1"/>
  <c r="C35" i="1"/>
  <c r="H34" i="1"/>
  <c r="I14" i="1"/>
  <c r="D21" i="1"/>
  <c r="G27" i="1"/>
  <c r="K33" i="1"/>
  <c r="B10" i="1"/>
  <c r="F16" i="1"/>
  <c r="J22" i="1"/>
  <c r="E29" i="1"/>
  <c r="H35" i="1"/>
  <c r="I11" i="1"/>
  <c r="D18" i="1"/>
  <c r="G24" i="1"/>
  <c r="K30" i="1"/>
  <c r="F19" i="1"/>
  <c r="E14" i="1"/>
  <c r="H20" i="1"/>
  <c r="B27" i="1"/>
  <c r="F33" i="1"/>
  <c r="F31" i="1"/>
  <c r="D15" i="1"/>
  <c r="G21" i="1"/>
  <c r="K27" i="1"/>
  <c r="C34" i="1"/>
  <c r="J33" i="1"/>
  <c r="E15" i="1"/>
  <c r="H21" i="1"/>
  <c r="B28" i="1"/>
  <c r="F34" i="1"/>
  <c r="G10" i="1"/>
  <c r="K16" i="1"/>
  <c r="C23" i="1"/>
  <c r="I29" i="1"/>
  <c r="F35" i="1"/>
  <c r="D9" i="1"/>
  <c r="G15" i="1"/>
  <c r="K21" i="1"/>
  <c r="C28" i="1"/>
  <c r="I34" i="1"/>
  <c r="J10" i="1"/>
  <c r="E17" i="1"/>
  <c r="H23" i="1"/>
  <c r="B30" i="1"/>
  <c r="F11" i="1"/>
  <c r="G12" i="1"/>
  <c r="K18" i="1"/>
  <c r="C25" i="1"/>
  <c r="I31" i="1"/>
  <c r="H26" i="1"/>
  <c r="B15" i="1"/>
  <c r="F21" i="1"/>
  <c r="J27" i="1"/>
  <c r="E34" i="1"/>
  <c r="G9" i="1"/>
  <c r="K15" i="1"/>
  <c r="C22" i="1"/>
  <c r="I28" i="1"/>
  <c r="A6" i="8"/>
  <c r="A6" i="1"/>
  <c r="H9" i="1"/>
  <c r="B16" i="1"/>
  <c r="F22" i="1"/>
  <c r="J28" i="1"/>
  <c r="E35" i="1"/>
  <c r="C11" i="1"/>
  <c r="I17" i="1"/>
  <c r="D24" i="1"/>
  <c r="G30" i="1"/>
  <c r="B13" i="1"/>
  <c r="K9" i="1"/>
  <c r="C16" i="1"/>
  <c r="I22" i="1"/>
  <c r="D29" i="1"/>
  <c r="G35" i="1"/>
  <c r="H11" i="1"/>
  <c r="B18" i="1"/>
  <c r="F24" i="1"/>
  <c r="J30" i="1"/>
  <c r="B17" i="1"/>
  <c r="C13" i="1"/>
  <c r="I19" i="1"/>
  <c r="D26" i="1"/>
  <c r="G32" i="1"/>
  <c r="F9" i="1"/>
  <c r="J15" i="1"/>
  <c r="E22" i="1"/>
  <c r="H28" i="1"/>
  <c r="B35" i="1"/>
  <c r="C10" i="1"/>
  <c r="I16" i="1"/>
  <c r="D23" i="1"/>
  <c r="G29" i="1"/>
  <c r="K35" i="1"/>
  <c r="K7" i="1"/>
  <c r="D7" i="1"/>
  <c r="J7" i="1"/>
  <c r="B7" i="1"/>
  <c r="I7" i="1"/>
  <c r="H7" i="1"/>
  <c r="G7" i="1"/>
  <c r="F7" i="1"/>
  <c r="C7" i="1"/>
  <c r="E7" i="1"/>
  <c r="C8" i="8"/>
  <c r="I8" i="8"/>
  <c r="H8" i="8"/>
  <c r="G8" i="8"/>
  <c r="F8" i="8"/>
  <c r="E8" i="8"/>
  <c r="D8" i="8"/>
  <c r="I8" i="1"/>
  <c r="H8" i="1"/>
  <c r="G8" i="1"/>
  <c r="F8" i="1"/>
  <c r="C8" i="1"/>
  <c r="E8" i="1"/>
  <c r="K8" i="1"/>
  <c r="D8" i="1"/>
  <c r="J8" i="1"/>
  <c r="B8" i="1"/>
  <c r="K13" i="8"/>
  <c r="K12" i="8"/>
  <c r="K14" i="8"/>
  <c r="K11" i="8"/>
  <c r="J10" i="8"/>
  <c r="I9" i="8"/>
  <c r="H9" i="8"/>
  <c r="G9" i="8"/>
  <c r="F9" i="8"/>
  <c r="E9" i="8"/>
  <c r="D9" i="8"/>
  <c r="C9" i="8"/>
  <c r="J11" i="8"/>
  <c r="J12" i="8"/>
  <c r="J13" i="8"/>
  <c r="A6" i="10"/>
  <c r="B34" i="7"/>
  <c r="Z35" i="7"/>
  <c r="Z19" i="7"/>
  <c r="B35" i="7"/>
  <c r="B24" i="7"/>
  <c r="Z22" i="7"/>
  <c r="D19" i="7"/>
  <c r="D20" i="7"/>
  <c r="G35" i="7"/>
  <c r="D21" i="7"/>
  <c r="Z21" i="7"/>
  <c r="Z34" i="7"/>
  <c r="Z33" i="7"/>
  <c r="B21" i="7"/>
  <c r="G19" i="7"/>
  <c r="G34" i="7"/>
  <c r="B19" i="7"/>
  <c r="D22" i="7"/>
  <c r="D24" i="7"/>
  <c r="D23" i="7"/>
  <c r="G21" i="7"/>
  <c r="B22" i="7"/>
  <c r="B33" i="7"/>
  <c r="Z24" i="7"/>
  <c r="Z20" i="7"/>
  <c r="Z23" i="7"/>
  <c r="G20" i="7"/>
  <c r="G33" i="7"/>
  <c r="B23" i="7"/>
  <c r="G22" i="7"/>
  <c r="G24" i="7"/>
  <c r="J24" i="7"/>
  <c r="T19" i="7"/>
  <c r="AC22" i="7"/>
  <c r="M19" i="7"/>
  <c r="U24" i="7"/>
  <c r="U20" i="7"/>
  <c r="R19" i="7"/>
  <c r="V22" i="7"/>
  <c r="V23" i="7"/>
  <c r="F34" i="7"/>
  <c r="F19" i="7"/>
  <c r="O35" i="7"/>
  <c r="O23" i="7"/>
  <c r="W33" i="7"/>
  <c r="N34" i="7"/>
  <c r="N22" i="7"/>
  <c r="H21" i="7"/>
  <c r="P34" i="7"/>
  <c r="P35" i="7"/>
  <c r="X20" i="7"/>
  <c r="L21" i="7"/>
  <c r="AE35" i="7"/>
  <c r="I24" i="7"/>
  <c r="Q22" i="7"/>
  <c r="Q20" i="7"/>
  <c r="Y33" i="7"/>
  <c r="Y19" i="7"/>
  <c r="AA23" i="7"/>
  <c r="AA24" i="7"/>
  <c r="J33" i="7"/>
  <c r="J34" i="7"/>
  <c r="J19" i="7"/>
  <c r="T22" i="7"/>
  <c r="C35" i="7"/>
  <c r="M20" i="7"/>
  <c r="AD23" i="7"/>
  <c r="V20" i="7"/>
  <c r="F35" i="7"/>
  <c r="F22" i="7"/>
  <c r="O22" i="7"/>
  <c r="O21" i="7"/>
  <c r="W34" i="7"/>
  <c r="W21" i="7"/>
  <c r="E22" i="7"/>
  <c r="N35" i="7"/>
  <c r="N19" i="7"/>
  <c r="P23" i="7"/>
  <c r="X33" i="7"/>
  <c r="AE22" i="7"/>
  <c r="AE21" i="7"/>
  <c r="I19" i="7"/>
  <c r="Q23" i="7"/>
  <c r="T23" i="7"/>
  <c r="T24" i="7"/>
  <c r="T21" i="7"/>
  <c r="AC24" i="7"/>
  <c r="AC23" i="7"/>
  <c r="C23" i="7"/>
  <c r="C24" i="7"/>
  <c r="M34" i="7"/>
  <c r="U21" i="7"/>
  <c r="AD34" i="7"/>
  <c r="AD19" i="7"/>
  <c r="R35" i="7"/>
  <c r="R21" i="7"/>
  <c r="V24" i="7"/>
  <c r="W35" i="7"/>
  <c r="W23" i="7"/>
  <c r="E34" i="7"/>
  <c r="H20" i="7"/>
  <c r="X34" i="7"/>
  <c r="L23" i="7"/>
  <c r="L24" i="7"/>
  <c r="AE23" i="7"/>
  <c r="I33" i="7"/>
  <c r="Y35" i="7"/>
  <c r="Y20" i="7"/>
  <c r="K23" i="7"/>
  <c r="K24" i="7"/>
  <c r="AB23" i="7"/>
  <c r="AB24" i="7"/>
  <c r="AC21" i="7"/>
  <c r="C20" i="7"/>
  <c r="M33" i="7"/>
  <c r="M35" i="7"/>
  <c r="U19" i="7"/>
  <c r="AD35" i="7"/>
  <c r="R23" i="7"/>
  <c r="R20" i="7"/>
  <c r="V33" i="7"/>
  <c r="F20" i="7"/>
  <c r="O24" i="7"/>
  <c r="W22" i="7"/>
  <c r="E33" i="7"/>
  <c r="E35" i="7"/>
  <c r="N20" i="7"/>
  <c r="H33" i="7"/>
  <c r="H24" i="7"/>
  <c r="P19" i="7"/>
  <c r="X35" i="7"/>
  <c r="L22" i="7"/>
  <c r="AE24" i="7"/>
  <c r="AE19" i="7"/>
  <c r="I22" i="7"/>
  <c r="Y22" i="7"/>
  <c r="Y21" i="7"/>
  <c r="J35" i="7"/>
  <c r="J22" i="7"/>
  <c r="AC19" i="7"/>
  <c r="C21" i="7"/>
  <c r="M22" i="7"/>
  <c r="U34" i="7"/>
  <c r="AD22" i="7"/>
  <c r="AD33" i="7"/>
  <c r="R22" i="7"/>
  <c r="V21" i="7"/>
  <c r="F24" i="7"/>
  <c r="F33" i="7"/>
  <c r="E20" i="7"/>
  <c r="N24" i="7"/>
  <c r="N33" i="7"/>
  <c r="H19" i="7"/>
  <c r="P20" i="7"/>
  <c r="X22" i="7"/>
  <c r="L20" i="7"/>
  <c r="Q19" i="7"/>
  <c r="Y23" i="7"/>
  <c r="AA33" i="7"/>
  <c r="AA34" i="7"/>
  <c r="AA19" i="7"/>
  <c r="J23" i="7"/>
  <c r="J21" i="7"/>
  <c r="AC20" i="7"/>
  <c r="M23" i="7"/>
  <c r="U33" i="7"/>
  <c r="U35" i="7"/>
  <c r="AD20" i="7"/>
  <c r="R24" i="7"/>
  <c r="F21" i="7"/>
  <c r="O19" i="7"/>
  <c r="W24" i="7"/>
  <c r="W19" i="7"/>
  <c r="E21" i="7"/>
  <c r="N23" i="7"/>
  <c r="H22" i="7"/>
  <c r="P33" i="7"/>
  <c r="P22" i="7"/>
  <c r="X23" i="7"/>
  <c r="AE20" i="7"/>
  <c r="I35" i="7"/>
  <c r="I20" i="7"/>
  <c r="Q33" i="7"/>
  <c r="Q34" i="7"/>
  <c r="T33" i="7"/>
  <c r="T34" i="7"/>
  <c r="T35" i="7"/>
  <c r="AC34" i="7"/>
  <c r="C33" i="7"/>
  <c r="C34" i="7"/>
  <c r="C19" i="7"/>
  <c r="M24" i="7"/>
  <c r="M21" i="7"/>
  <c r="U22" i="7"/>
  <c r="AD24" i="7"/>
  <c r="AD21" i="7"/>
  <c r="V34" i="7"/>
  <c r="V19" i="7"/>
  <c r="F23" i="7"/>
  <c r="O33" i="7"/>
  <c r="W20" i="7"/>
  <c r="E24" i="7"/>
  <c r="E19" i="7"/>
  <c r="N21" i="7"/>
  <c r="H34" i="7"/>
  <c r="H35" i="7"/>
  <c r="P24" i="7"/>
  <c r="X24" i="7"/>
  <c r="X21" i="7"/>
  <c r="L33" i="7"/>
  <c r="L34" i="7"/>
  <c r="L35" i="7"/>
  <c r="AE33" i="7"/>
  <c r="I23" i="7"/>
  <c r="I34" i="7"/>
  <c r="K33" i="7"/>
  <c r="K34" i="7"/>
  <c r="S22" i="7"/>
  <c r="AB33" i="7"/>
  <c r="AB34" i="7"/>
  <c r="AB20" i="7"/>
  <c r="AC35" i="7"/>
  <c r="R34" i="7"/>
  <c r="O34" i="7"/>
  <c r="I21" i="7"/>
  <c r="AA21" i="7"/>
  <c r="S19" i="7"/>
  <c r="AB19" i="7"/>
  <c r="S23" i="7"/>
  <c r="E23" i="7"/>
  <c r="L19" i="7"/>
  <c r="Q35" i="7"/>
  <c r="AA22" i="7"/>
  <c r="K22" i="7"/>
  <c r="S34" i="7"/>
  <c r="J20" i="7"/>
  <c r="U23" i="7"/>
  <c r="O20" i="7"/>
  <c r="AE34" i="7"/>
  <c r="K20" i="7"/>
  <c r="AB21" i="7"/>
  <c r="V35" i="7"/>
  <c r="P21" i="7"/>
  <c r="Q24" i="7"/>
  <c r="K21" i="7"/>
  <c r="S33" i="7"/>
  <c r="AB22" i="7"/>
  <c r="C22" i="7"/>
  <c r="Q21" i="7"/>
  <c r="K35" i="7"/>
  <c r="K19" i="7"/>
  <c r="S24" i="7"/>
  <c r="T20" i="7"/>
  <c r="Y24" i="7"/>
  <c r="Y34" i="7"/>
  <c r="S20" i="7"/>
  <c r="AC33" i="7"/>
  <c r="X19" i="7"/>
  <c r="R33" i="7"/>
  <c r="H23" i="7"/>
  <c r="AA35" i="7"/>
  <c r="AA20" i="7"/>
  <c r="S35" i="7"/>
  <c r="S21" i="7"/>
  <c r="AB35" i="7"/>
  <c r="D35" i="7"/>
  <c r="D34" i="7"/>
  <c r="D33" i="7"/>
  <c r="G23" i="7"/>
  <c r="B20" i="7"/>
  <c r="J14" i="8" l="1"/>
  <c r="K6" i="10"/>
  <c r="G6" i="10"/>
  <c r="L6" i="10"/>
  <c r="C6" i="8"/>
  <c r="B6" i="8"/>
  <c r="P7" i="10"/>
  <c r="Q7" i="10"/>
  <c r="P6" i="10"/>
  <c r="O6" i="10"/>
  <c r="R6" i="10"/>
  <c r="Q6" i="10"/>
  <c r="M6" i="10"/>
  <c r="D6" i="10"/>
  <c r="J6" i="10"/>
  <c r="H6" i="10"/>
  <c r="I6" i="10"/>
  <c r="F6" i="10"/>
  <c r="E6" i="10"/>
  <c r="C6" i="10"/>
  <c r="G6" i="8"/>
  <c r="G37" i="8" s="1"/>
  <c r="H6" i="8"/>
  <c r="H38" i="8" s="1"/>
  <c r="F6" i="8"/>
  <c r="F38" i="8" s="1"/>
  <c r="E6" i="8"/>
  <c r="E38" i="8" s="1"/>
  <c r="D6" i="8"/>
  <c r="D37" i="8" s="1"/>
  <c r="I6" i="8"/>
  <c r="I37" i="8" s="1"/>
  <c r="I6" i="1"/>
  <c r="G6" i="1"/>
  <c r="F6" i="1"/>
  <c r="K6" i="1"/>
  <c r="J6" i="1"/>
  <c r="H6" i="1"/>
  <c r="E6" i="1"/>
  <c r="B6" i="1"/>
  <c r="C6" i="1"/>
  <c r="D6" i="1"/>
  <c r="K8" i="8"/>
  <c r="J8" i="8"/>
  <c r="J9" i="8"/>
  <c r="K9" i="8"/>
  <c r="B6" i="10"/>
  <c r="C38" i="8" l="1"/>
  <c r="C37" i="8"/>
  <c r="F37" i="8"/>
  <c r="F39" i="8" s="1"/>
  <c r="I38" i="8"/>
  <c r="I39" i="8" s="1"/>
  <c r="G38" i="8"/>
  <c r="G39" i="8" s="1"/>
  <c r="D38" i="8"/>
  <c r="D39" i="8" s="1"/>
  <c r="H37" i="8"/>
  <c r="H39" i="8" s="1"/>
  <c r="E37" i="8"/>
  <c r="E39" i="8" s="1"/>
  <c r="J6" i="8"/>
  <c r="J37" i="8" s="1"/>
  <c r="K6" i="8"/>
  <c r="K38" i="8" s="1"/>
  <c r="C39" i="8" l="1"/>
  <c r="J38" i="8"/>
  <c r="J39" i="8" s="1"/>
  <c r="K37" i="8"/>
  <c r="K39" i="8" s="1"/>
  <c r="B80" i="7" l="1"/>
</calcChain>
</file>

<file path=xl/sharedStrings.xml><?xml version="1.0" encoding="utf-8"?>
<sst xmlns="http://schemas.openxmlformats.org/spreadsheetml/2006/main" count="1872" uniqueCount="445">
  <si>
    <t>CHARMS &amp; PROBAST template</t>
  </si>
  <si>
    <t>Information:</t>
  </si>
  <si>
    <t xml:space="preserve">This Excel document is a template for data extraction and critical appraisal of a systematic review of clinical prediction model development and/or validation studies. </t>
  </si>
  <si>
    <r>
      <t xml:space="preserve">
</t>
    </r>
    <r>
      <rPr>
        <b/>
        <sz val="12"/>
        <color theme="1"/>
        <rFont val="Calibri"/>
        <family val="2"/>
        <scheme val="minor"/>
      </rPr>
      <t xml:space="preserve">Templates designed by: </t>
    </r>
    <r>
      <rPr>
        <sz val="12"/>
        <color theme="1"/>
        <rFont val="Calibri"/>
        <family val="2"/>
        <scheme val="minor"/>
      </rPr>
      <t xml:space="preserve">
</t>
    </r>
    <r>
      <rPr>
        <sz val="11"/>
        <color theme="1"/>
        <rFont val="Calibri"/>
        <family val="2"/>
        <scheme val="minor"/>
      </rPr>
      <t xml:space="preserve">Fernandez-Felix BM </t>
    </r>
    <r>
      <rPr>
        <vertAlign val="superscript"/>
        <sz val="11"/>
        <color theme="1"/>
        <rFont val="Calibri"/>
        <family val="2"/>
        <scheme val="minor"/>
      </rPr>
      <t>1,2</t>
    </r>
    <r>
      <rPr>
        <sz val="11"/>
        <color theme="1"/>
        <rFont val="Calibri"/>
        <family val="2"/>
        <scheme val="minor"/>
      </rPr>
      <t xml:space="preserve"> </t>
    </r>
    <r>
      <rPr>
        <sz val="12"/>
        <color theme="1"/>
        <rFont val="Calibri"/>
        <family val="2"/>
        <scheme val="minor"/>
      </rPr>
      <t xml:space="preserve">
</t>
    </r>
    <r>
      <rPr>
        <b/>
        <sz val="12"/>
        <color theme="1"/>
        <rFont val="Calibri"/>
        <family val="2"/>
        <scheme val="minor"/>
      </rPr>
      <t xml:space="preserve">Affiliations: </t>
    </r>
    <r>
      <rPr>
        <sz val="12"/>
        <color theme="1"/>
        <rFont val="Calibri"/>
        <family val="2"/>
        <scheme val="minor"/>
      </rPr>
      <t xml:space="preserve">
</t>
    </r>
    <r>
      <rPr>
        <vertAlign val="superscript"/>
        <sz val="11"/>
        <color theme="1"/>
        <rFont val="Calibri"/>
        <family val="2"/>
        <scheme val="minor"/>
      </rPr>
      <t>1</t>
    </r>
    <r>
      <rPr>
        <sz val="11"/>
        <color theme="1"/>
        <rFont val="Calibri"/>
        <family val="2"/>
        <scheme val="minor"/>
      </rPr>
      <t xml:space="preserve"> Clinical Biostatistics Unit, Hospital Universitario Ramón y Cajal, IRYCIS, Madrid, Spain. 
</t>
    </r>
    <r>
      <rPr>
        <vertAlign val="superscript"/>
        <sz val="11"/>
        <color theme="1"/>
        <rFont val="Calibri"/>
        <family val="2"/>
        <scheme val="minor"/>
      </rPr>
      <t>2</t>
    </r>
    <r>
      <rPr>
        <sz val="11"/>
        <color theme="1"/>
        <rFont val="Calibri"/>
        <family val="2"/>
        <scheme val="minor"/>
      </rPr>
      <t xml:space="preserve"> CIBER de Epidemiología y Salud Pública (CIBERESP), Madrid, Spain.
</t>
    </r>
    <r>
      <rPr>
        <b/>
        <sz val="12"/>
        <color theme="1"/>
        <rFont val="Calibri"/>
        <family val="2"/>
        <scheme val="minor"/>
      </rPr>
      <t xml:space="preserve"> Contact: </t>
    </r>
    <r>
      <rPr>
        <sz val="12"/>
        <color theme="1"/>
        <rFont val="Calibri"/>
        <family val="2"/>
        <scheme val="minor"/>
      </rPr>
      <t xml:space="preserve">
</t>
    </r>
    <r>
      <rPr>
        <b/>
        <sz val="12"/>
        <color rgb="FF0070C0"/>
        <rFont val="Calibri"/>
        <family val="2"/>
        <scheme val="minor"/>
      </rPr>
      <t xml:space="preserve">borjamanuel.fernandez@salud.madrid.org </t>
    </r>
    <r>
      <rPr>
        <b/>
        <sz val="11"/>
        <color rgb="FF0070C0"/>
        <rFont val="Calibri"/>
        <family val="2"/>
        <scheme val="minor"/>
      </rPr>
      <t xml:space="preserve">
</t>
    </r>
  </si>
  <si>
    <t>Contents:</t>
  </si>
  <si>
    <t>Instructions for use:</t>
  </si>
  <si>
    <t>To begin data extraction (CHARMS) and risk of bias and applicability evaluation (PROBAST) of each model included in the systematic review, check in "new model" on the SUMMARY sheet. Complete the basic study information. The template can be used to evaluate up to 30 models.
Go to:</t>
  </si>
  <si>
    <r>
      <t xml:space="preserve">
</t>
    </r>
    <r>
      <rPr>
        <b/>
        <sz val="11"/>
        <color theme="4" tint="-0.499984740745262"/>
        <rFont val="Calibri"/>
        <family val="2"/>
        <scheme val="minor"/>
      </rPr>
      <t xml:space="preserve">CHARMS </t>
    </r>
    <r>
      <rPr>
        <sz val="11"/>
        <color theme="4" tint="-0.499984740745262"/>
        <rFont val="Calibri"/>
        <family val="2"/>
        <scheme val="minor"/>
      </rPr>
      <t>(Adapted from Moons K. 2014)</t>
    </r>
    <r>
      <rPr>
        <sz val="11"/>
        <color theme="1"/>
        <rFont val="Calibri"/>
        <family val="2"/>
        <scheme val="minor"/>
      </rPr>
      <t xml:space="preserve">
Complete the data extraction for each predictive model included in the systematic review. You should fill in the cells shaded in yellow. Fill in the cell with "No Information" (NI) when the information in the study report is not available. In the case of blank cells, the status of the data extraction form will be incomplete ⚠️. When all domains in the form are filled out, the data extraction will be complete ✅.
Go to:</t>
    </r>
  </si>
  <si>
    <r>
      <t xml:space="preserve">
</t>
    </r>
    <r>
      <rPr>
        <b/>
        <sz val="11"/>
        <color theme="4" tint="-0.499984740745262"/>
        <rFont val="Calibri"/>
        <family val="2"/>
        <scheme val="minor"/>
      </rPr>
      <t>PROBAST</t>
    </r>
    <r>
      <rPr>
        <sz val="11"/>
        <color theme="4" tint="-0.499984740745262"/>
        <rFont val="Calibri"/>
        <family val="2"/>
        <scheme val="minor"/>
      </rPr>
      <t xml:space="preserve"> (Adapted from Wolff RF. 2019)</t>
    </r>
    <r>
      <rPr>
        <sz val="11"/>
        <color theme="1"/>
        <rFont val="Calibri"/>
        <family val="2"/>
        <scheme val="minor"/>
      </rPr>
      <t xml:space="preserve">
Complete the risk of bias assessment and applicability for each model included in the systematic review. You should answer signalling questions shaded in yellow for each key domain (Participant, Predictor, Outcome and Analysis) as "Yes", "Probably yes", "Probably no", "No" or "No information". For each domain, once all signalling questions are answered, RoB and applicability assessment cells will become unblocked. Any signally question rated as "No" or "Probably no" flags the potential for bias; You will need to use your judgement to determine whether the domain should be rated as "High", "Low" or "Unclear" risk of bias, and rated for concern regarding applicability "High", "Low" or "Unclear" to your review question. When RoB assessment and applicability were rated for all domains in the form, the PROBAST assessment will be complete ✅.
Go to:</t>
    </r>
  </si>
  <si>
    <t>Summary information:</t>
  </si>
  <si>
    <t>Incomplete</t>
  </si>
  <si>
    <t>Complete</t>
  </si>
  <si>
    <t>Models included for data extraction and RoB assessment:</t>
  </si>
  <si>
    <t>New model</t>
  </si>
  <si>
    <t>No model</t>
  </si>
  <si>
    <t>Author</t>
  </si>
  <si>
    <t>Publication year</t>
  </si>
  <si>
    <t>Publication identifier (Title/PMID/DOI)</t>
  </si>
  <si>
    <t>Publication journal</t>
  </si>
  <si>
    <t>Model name</t>
  </si>
  <si>
    <t>Identifier</t>
  </si>
  <si>
    <t>CHARMS</t>
  </si>
  <si>
    <t>PROBAST</t>
  </si>
  <si>
    <t>A pragmatic approach for mortality prediction after surgery in infective endocarditis: optimizing and refining EuroSCORE</t>
  </si>
  <si>
    <t>Clinical Microbiology and Infection</t>
  </si>
  <si>
    <t>Specific EuroSCORE-I</t>
  </si>
  <si>
    <t>Specific EuroSCORE-II</t>
  </si>
  <si>
    <t>CHARMS checklist</t>
  </si>
  <si>
    <t>CHARMS checklist. Relevant items to extract from individual studies for purposes of description and assessment of risk of bias and applicability. (Adapted from Moons KG. 2014)</t>
  </si>
  <si>
    <t>Gen</t>
  </si>
  <si>
    <t>App</t>
  </si>
  <si>
    <t>RoB</t>
  </si>
  <si>
    <t>Domain/ Key items</t>
  </si>
  <si>
    <t>Model 3</t>
  </si>
  <si>
    <t>Model 4</t>
  </si>
  <si>
    <t>0. Study information</t>
  </si>
  <si>
    <t>X</t>
  </si>
  <si>
    <t>0.1 Author</t>
  </si>
  <si>
    <t>0.2 Publication year</t>
  </si>
  <si>
    <t>0.3 Publication identifier (Title/PMID/DOI)</t>
  </si>
  <si>
    <t>0.4 Publication journal</t>
  </si>
  <si>
    <t>0.5 Model name</t>
  </si>
  <si>
    <t>1. Source of data</t>
  </si>
  <si>
    <t>1.1 Source of data</t>
  </si>
  <si>
    <t>Existing registry</t>
  </si>
  <si>
    <t>Retrospective cohort</t>
  </si>
  <si>
    <t>2. Participants</t>
  </si>
  <si>
    <t>x</t>
  </si>
  <si>
    <t>2.1 Recruitment method</t>
  </si>
  <si>
    <t>Consecutive patients</t>
  </si>
  <si>
    <t>No information</t>
  </si>
  <si>
    <t>2.2 Recruitment dates</t>
  </si>
  <si>
    <t>2000 - 2011</t>
  </si>
  <si>
    <t>2.3 Study setting</t>
  </si>
  <si>
    <t>Cardiac surgery centers</t>
  </si>
  <si>
    <t>2.4 Study sites (Regions)</t>
  </si>
  <si>
    <t>Spain</t>
  </si>
  <si>
    <t>2.5 Study sites (Number of centers)</t>
  </si>
  <si>
    <t>Unclear</t>
  </si>
  <si>
    <t>2.6 Criteria inclusion</t>
  </si>
  <si>
    <t>Patients who requiring cardiac surgery during the active phase of infection (while on antimicrobial therapy).</t>
  </si>
  <si>
    <t>2.7 Criteria exclusion</t>
  </si>
  <si>
    <t>IE cases exclusively involving pacemaker leads were not considered. Only the first episode of IE recorded for an individual patient was used.</t>
  </si>
  <si>
    <t>2.8 Participant description</t>
  </si>
  <si>
    <t>Characteristics</t>
  </si>
  <si>
    <t>Values</t>
  </si>
  <si>
    <t>Measures</t>
  </si>
  <si>
    <t>Age of participants</t>
  </si>
  <si>
    <t>Median (IQR)</t>
  </si>
  <si>
    <t>Mean (sd)</t>
  </si>
  <si>
    <t>58 (15.1)</t>
  </si>
  <si>
    <t>n (%)</t>
  </si>
  <si>
    <t>2.221 (82)</t>
  </si>
  <si>
    <t>103 (74.6)</t>
  </si>
  <si>
    <t>259 (61.1)</t>
  </si>
  <si>
    <t>All</t>
  </si>
  <si>
    <t>Other</t>
  </si>
  <si>
    <t>3. Outcome to be predicted</t>
  </si>
  <si>
    <t>3.1 Outcome</t>
  </si>
  <si>
    <t>30 days mortality</t>
  </si>
  <si>
    <t>3.2 Outcome definition</t>
  </si>
  <si>
    <t>Death occurring within the first 30 days after cardiac surgery.</t>
  </si>
  <si>
    <t>3.3 Same outcome definition for all participants</t>
  </si>
  <si>
    <t>Yes</t>
  </si>
  <si>
    <t>3.4 Type of outcome</t>
  </si>
  <si>
    <t>Single</t>
  </si>
  <si>
    <t>3.5 Was the outcome assessed without knowledge of the predictors?</t>
  </si>
  <si>
    <t>3.6 Were candidate predictors part of outcome?</t>
  </si>
  <si>
    <t>No</t>
  </si>
  <si>
    <t>3.7 Time of outcome ocurrence</t>
  </si>
  <si>
    <t>30 days</t>
  </si>
  <si>
    <t>4. Candidate predictors</t>
  </si>
  <si>
    <t>4.1 Number of candidate predictors (or parameters) assessed</t>
  </si>
  <si>
    <t>4.2 Type of predictors</t>
  </si>
  <si>
    <t>Patient, surgery and IE related factors</t>
  </si>
  <si>
    <t>4.3 Timing of predictors measurement</t>
  </si>
  <si>
    <t>Pre-operative</t>
  </si>
  <si>
    <t>4.4 Predictors definition and measurement similar for all participants</t>
  </si>
  <si>
    <t>4.5 Were predictors assessed blinded for outcome?</t>
  </si>
  <si>
    <t>4.6 Handling of continuous predictors</t>
  </si>
  <si>
    <t>Dichotomization</t>
  </si>
  <si>
    <t>5. Sample size</t>
  </si>
  <si>
    <t>5.1 Number of participants</t>
  </si>
  <si>
    <t>5.2 Number of outcomes/events</t>
  </si>
  <si>
    <t>5.3 Number events per variable (EPV) or per parameter (EPP)</t>
  </si>
  <si>
    <t>6. Missing data</t>
  </si>
  <si>
    <t>6.1 Number of participants with any missing value</t>
  </si>
  <si>
    <t>6.2 Handling of missing data</t>
  </si>
  <si>
    <t>Complete-case analysis</t>
  </si>
  <si>
    <t>7. Model development</t>
  </si>
  <si>
    <t>7.1 Modelling method</t>
  </si>
  <si>
    <t>Logistic GEE regression</t>
  </si>
  <si>
    <t>Logistic regression</t>
  </si>
  <si>
    <t xml:space="preserve">7.2 Method for selection of candidate predictors </t>
  </si>
  <si>
    <t>Based on univariable associations</t>
  </si>
  <si>
    <t>Based on univariable associations and clinical relevance</t>
  </si>
  <si>
    <t>Based on prior knowledge</t>
  </si>
  <si>
    <t>7.3 Method for selection of predictors during multivariable modelling</t>
  </si>
  <si>
    <t>Stepwise selection</t>
  </si>
  <si>
    <t>Backward elimination</t>
  </si>
  <si>
    <t>Bootstrap selection</t>
  </si>
  <si>
    <t>7.4 Shrinkage of predictor weights or regression coefficients</t>
  </si>
  <si>
    <t>8. Model performance</t>
  </si>
  <si>
    <t>8.1 Calibration measures</t>
  </si>
  <si>
    <t>8.1.1 Calibration plot</t>
  </si>
  <si>
    <t>8.1.2 Calibration slope</t>
  </si>
  <si>
    <t>value (95% CI):</t>
  </si>
  <si>
    <t>0.93 (0.92 to 0.93)</t>
  </si>
  <si>
    <t>0.93 (0.92 to 0.94)</t>
  </si>
  <si>
    <t>8.1.3 Calibration-in-the-large (CITL)</t>
  </si>
  <si>
    <t>-0.06 (-0.07 to -0.05)</t>
  </si>
  <si>
    <t>-0.05 (-0.06 to -0.04)</t>
  </si>
  <si>
    <t>8.1.4 Hosmer-Lemeshow test</t>
  </si>
  <si>
    <t>8.1.5 Other</t>
  </si>
  <si>
    <t>Specify:</t>
  </si>
  <si>
    <t>8.2 Discrimination measures</t>
  </si>
  <si>
    <t>8.2.1 C-Statistic</t>
  </si>
  <si>
    <t>0.77 (0.74 to 0.81)</t>
  </si>
  <si>
    <t>0.77 (0.73 to 0.81)</t>
  </si>
  <si>
    <t>8.2.2 D-Statistic</t>
  </si>
  <si>
    <t>8.2.3 AUC graph</t>
  </si>
  <si>
    <t>8.2.4 Log-rank test (if survival analysis)</t>
  </si>
  <si>
    <t>Not applicable</t>
  </si>
  <si>
    <t>8.2.5 Risk group curves (if survival analysis)</t>
  </si>
  <si>
    <t>8.2.6 Other</t>
  </si>
  <si>
    <t>8.3 Overall measures</t>
  </si>
  <si>
    <r>
      <t>8.3.1 R-squared (e.g. Cox-Snell R</t>
    </r>
    <r>
      <rPr>
        <vertAlign val="superscript"/>
        <sz val="10"/>
        <color theme="1"/>
        <rFont val="Calibri"/>
        <family val="2"/>
        <scheme val="minor"/>
      </rPr>
      <t>2</t>
    </r>
    <r>
      <rPr>
        <sz val="10"/>
        <color theme="1"/>
        <rFont val="Calibri"/>
        <family val="2"/>
        <scheme val="minor"/>
      </rPr>
      <t>, Nagelkerke's R</t>
    </r>
    <r>
      <rPr>
        <vertAlign val="superscript"/>
        <sz val="10"/>
        <color theme="1"/>
        <rFont val="Calibri"/>
        <family val="2"/>
        <scheme val="minor"/>
      </rPr>
      <t>2</t>
    </r>
    <r>
      <rPr>
        <sz val="10"/>
        <color theme="1"/>
        <rFont val="Calibri"/>
        <family val="2"/>
        <scheme val="minor"/>
      </rPr>
      <t>,..)</t>
    </r>
  </si>
  <si>
    <t xml:space="preserve">8.3.2 Brier score </t>
  </si>
  <si>
    <t xml:space="preserve">8.3.3 Other </t>
  </si>
  <si>
    <t>8.4 Clinical utility</t>
  </si>
  <si>
    <t>8.4.1 Decision Curve Analysis (DCA)</t>
  </si>
  <si>
    <t>8.4.2 Other</t>
  </si>
  <si>
    <t>9. Model evaluation</t>
  </si>
  <si>
    <t>9.1 Method used for testing model performance</t>
  </si>
  <si>
    <t>9.1.1 Internal validation</t>
  </si>
  <si>
    <t>Random split data</t>
  </si>
  <si>
    <t>None (Apparent performance)</t>
  </si>
  <si>
    <t>Bootstrap</t>
  </si>
  <si>
    <t>9.1.2 External validation</t>
  </si>
  <si>
    <t>None</t>
  </si>
  <si>
    <t>Geographical</t>
  </si>
  <si>
    <t>9.2 In case of poor validation, whether model was adjusted or updated</t>
  </si>
  <si>
    <t>10. Results</t>
  </si>
  <si>
    <t>10.1 Number of predictors (or parameters) included in final model</t>
  </si>
  <si>
    <t>10.2 Final model included predictor weights or regression coefficients</t>
  </si>
  <si>
    <t>Regression coefficients</t>
  </si>
  <si>
    <t>Predictor weights</t>
  </si>
  <si>
    <t>10.3 Final model included intercept (or baseline survival)</t>
  </si>
  <si>
    <t>10.4 Alternative presentation of the final prediction models</t>
  </si>
  <si>
    <t>Score system</t>
  </si>
  <si>
    <t>Nomogram</t>
  </si>
  <si>
    <t>11. Interpretation</t>
  </si>
  <si>
    <t>11.1 Interpretation of presented model</t>
  </si>
  <si>
    <t>We suggest that a new risk score based on EuroSCORE I should be used for prospective validation.</t>
  </si>
  <si>
    <t>12. Observations</t>
  </si>
  <si>
    <t xml:space="preserve">12.1 Data extraction process </t>
  </si>
  <si>
    <t>12.2 Additional information</t>
  </si>
  <si>
    <r>
      <t xml:space="preserve">Abbreviation: </t>
    </r>
    <r>
      <rPr>
        <i/>
        <sz val="11"/>
        <color theme="1"/>
        <rFont val="Calibri"/>
        <family val="2"/>
        <scheme val="minor"/>
      </rPr>
      <t>Gen: General description; App: Applicability; RoB: Risk of Bias</t>
    </r>
  </si>
  <si>
    <t>PROBAST checklist</t>
  </si>
  <si>
    <t>PROBAST. Prediction model study Risk Of Bias Assessment Tool</t>
  </si>
  <si>
    <t>Domain/ Key questions</t>
  </si>
  <si>
    <t>1. Participants</t>
  </si>
  <si>
    <t>1.1 Were appropriate data sources used?</t>
  </si>
  <si>
    <t>Probably Yes</t>
  </si>
  <si>
    <t>1.2 Were all inclusions and exclusions of participants appropriate?</t>
  </si>
  <si>
    <t>Probably No</t>
  </si>
  <si>
    <t>No Information</t>
  </si>
  <si>
    <t>Risk of bias introduced by selection of participants</t>
  </si>
  <si>
    <t>High RoB</t>
  </si>
  <si>
    <t>Low RoB</t>
  </si>
  <si>
    <t>Applicability</t>
  </si>
  <si>
    <t>Low concern</t>
  </si>
  <si>
    <t>High concern</t>
  </si>
  <si>
    <t>Relevant information extracted from CHARMS:</t>
  </si>
  <si>
    <t>Source of data</t>
  </si>
  <si>
    <t>Recruitment methods</t>
  </si>
  <si>
    <t>Recruitment dates</t>
  </si>
  <si>
    <t>Study setting</t>
  </si>
  <si>
    <t>Inclusion criteria</t>
  </si>
  <si>
    <t>Exclusion criteria</t>
  </si>
  <si>
    <t>Rationale of bias and applicability rating:</t>
  </si>
  <si>
    <t>2. Predictors</t>
  </si>
  <si>
    <t>2.1 Were predictors defined and assessed in a similar way for all participants?</t>
  </si>
  <si>
    <t>2.2 Were predictor assessments made without knowledge of outcome data?</t>
  </si>
  <si>
    <t>2.3 Are all predictors available at the time the model is intended to be used?</t>
  </si>
  <si>
    <t>Risk of bias introduced by predictors or their assessment</t>
  </si>
  <si>
    <t>Predictors definition and measurement similar for all participants</t>
  </si>
  <si>
    <t>Were predictors assessed blinded for outcome?</t>
  </si>
  <si>
    <t>Timing of predictors measurement</t>
  </si>
  <si>
    <t>Databases were not homogeneous, but authors did an effort to homogenize it, we did not penalized the RoB. Systolic pulmonary artery pressure predictor could be hard to recovery.</t>
  </si>
  <si>
    <t>Databases were not homogeneous, but authors did an effort to homogenize it, we did not penalized the RoB.</t>
  </si>
  <si>
    <t>3. Outcome</t>
  </si>
  <si>
    <t>3.1 Was the outcome determined appropriately?</t>
  </si>
  <si>
    <t>3.2 Was a pre-specified or standard outcome definition used?</t>
  </si>
  <si>
    <t>3.3 Were predictors excluded from the outcome definition?</t>
  </si>
  <si>
    <t>3.4 Was the outcome defined and determined in a similar way for all participants?</t>
  </si>
  <si>
    <t>3.5 Was the outcome determined without knowledge of predictor information?</t>
  </si>
  <si>
    <t>3.6 Was the time interval between predictor assessment and outcome determination appropriate?</t>
  </si>
  <si>
    <t>Risk of bias introduced by the outcome or its determination</t>
  </si>
  <si>
    <t>Outcome definition</t>
  </si>
  <si>
    <t>Same outcome definition for all participants</t>
  </si>
  <si>
    <t>Was the outcome assessed without knowledge of the predictors</t>
  </si>
  <si>
    <t>Were candidate predictors part of outcome?</t>
  </si>
  <si>
    <t>Time of outcome ocurrence</t>
  </si>
  <si>
    <t>4. Analysis</t>
  </si>
  <si>
    <t>4.1 Were there a reasonable number of participants with the outcome?</t>
  </si>
  <si>
    <t>4.2 Were continuous and categorical predictors handled appropriately?</t>
  </si>
  <si>
    <t>4.3 Were all enrolled participants included in the analysis?</t>
  </si>
  <si>
    <t>4.4 Were participants with missing data handled appropriately?</t>
  </si>
  <si>
    <t>4.5 Was selection of predictors based on univariable analysis avoided?</t>
  </si>
  <si>
    <t>4.6 Were complexities in the data accounted for appropriately?</t>
  </si>
  <si>
    <t>4.7 Were relevant model performance measures evaluated appropriately?</t>
  </si>
  <si>
    <t>4.8 Were model overfitting and optimism in model performance accounted for?</t>
  </si>
  <si>
    <t>4.9 Do predictors and their assigned weights in the final model correspond to the results from multivariable analysis?</t>
  </si>
  <si>
    <t>Risk of bias introduced by the analysis</t>
  </si>
  <si>
    <t>Outcome frecuency</t>
  </si>
  <si>
    <t>Event per variable (EPV) or per parameter (EPP)</t>
  </si>
  <si>
    <t>Handling of continuous predictors</t>
  </si>
  <si>
    <t>Number of participants with any missing value</t>
  </si>
  <si>
    <t>Handling of missing data</t>
  </si>
  <si>
    <t>Method for selection of candidate predictors</t>
  </si>
  <si>
    <t>Validation method</t>
  </si>
  <si>
    <t>Performance measures</t>
  </si>
  <si>
    <t>Shrinkage of predictor weights or regression coefficients</t>
  </si>
  <si>
    <t>Very small EPV, continuous predictors no handled apropiately, probably using complete data and only apparent validation available.</t>
  </si>
  <si>
    <t>EPP not available, no informed about missing data, continuous predictors dichotomized and apparent performance.</t>
  </si>
  <si>
    <t>EPP was slightly lower than required but were not univariable selection and model performance was optimism adjusted by bootstrap validation. The complete data analysis were not worrying because only 4 (0.5%) patients were excluded. We did not penalized RoB.</t>
  </si>
  <si>
    <r>
      <rPr>
        <b/>
        <sz val="11"/>
        <color theme="1"/>
        <rFont val="Calibri Light"/>
        <family val="2"/>
        <scheme val="major"/>
      </rPr>
      <t>Table 1.</t>
    </r>
    <r>
      <rPr>
        <sz val="11"/>
        <color theme="1"/>
        <rFont val="Calibri Light"/>
        <family val="2"/>
        <scheme val="major"/>
      </rPr>
      <t xml:space="preserve"> Characteristics of the studies included in the systematic review.</t>
    </r>
  </si>
  <si>
    <t>Author, Year</t>
  </si>
  <si>
    <t>Study design</t>
  </si>
  <si>
    <t>Enrolment period</t>
  </si>
  <si>
    <t>Study region</t>
  </si>
  <si>
    <t>Participant characteristics:</t>
  </si>
  <si>
    <r>
      <rPr>
        <b/>
        <sz val="11"/>
        <color theme="1"/>
        <rFont val="Calibri Light"/>
        <family val="2"/>
        <scheme val="major"/>
      </rPr>
      <t>Table 2.</t>
    </r>
    <r>
      <rPr>
        <sz val="11"/>
        <color theme="1"/>
        <rFont val="Calibri Light"/>
        <family val="2"/>
        <scheme val="major"/>
      </rPr>
      <t xml:space="preserve"> Characteristics of the models included in the systematic review and critical appraisal for risk of bias and applicability.</t>
    </r>
  </si>
  <si>
    <t>Modelling method</t>
  </si>
  <si>
    <t>Sample size</t>
  </si>
  <si>
    <t>Events</t>
  </si>
  <si>
    <t>No predictors</t>
  </si>
  <si>
    <t>EPV or EPP</t>
  </si>
  <si>
    <t xml:space="preserve">Selection of candidate predictors </t>
  </si>
  <si>
    <t>Selection of final predictors</t>
  </si>
  <si>
    <t>Number (%) and handling of missng data</t>
  </si>
  <si>
    <t>Type of validation</t>
  </si>
  <si>
    <t>Critical appraisal (PROBAST)</t>
  </si>
  <si>
    <t>Cand.</t>
  </si>
  <si>
    <t>Final</t>
  </si>
  <si>
    <t>P</t>
  </si>
  <si>
    <t>Pr</t>
  </si>
  <si>
    <t>O</t>
  </si>
  <si>
    <t>A</t>
  </si>
  <si>
    <r>
      <t xml:space="preserve">Table 3. </t>
    </r>
    <r>
      <rPr>
        <sz val="11"/>
        <color theme="1"/>
        <rFont val="Calibri Light"/>
        <family val="2"/>
        <scheme val="major"/>
      </rPr>
      <t>Risk of bias and applicability assessment</t>
    </r>
  </si>
  <si>
    <t>Risk of Bias</t>
  </si>
  <si>
    <t xml:space="preserve">Overall </t>
  </si>
  <si>
    <t xml:space="preserve"> 1. Participants</t>
  </si>
  <si>
    <t xml:space="preserve"> 2. Predictors</t>
  </si>
  <si>
    <t xml:space="preserve"> 3. Outcome</t>
  </si>
  <si>
    <t xml:space="preserve"> 4. Analysis</t>
  </si>
  <si>
    <t xml:space="preserve"> Risk of Bias</t>
  </si>
  <si>
    <t xml:space="preserve"> Applicability</t>
  </si>
  <si>
    <t>CHARMS sheet</t>
  </si>
  <si>
    <t>2.8 Participant description (Measures)</t>
  </si>
  <si>
    <t>7.2 Method for selection of candidate predictors</t>
  </si>
  <si>
    <t>Prospective cohort</t>
  </si>
  <si>
    <t>Mean</t>
  </si>
  <si>
    <t>All available predictors</t>
  </si>
  <si>
    <t>Pre-specified model (not selection)</t>
  </si>
  <si>
    <t>Combined</t>
  </si>
  <si>
    <t>Single imputation</t>
  </si>
  <si>
    <t>Multilevel logistic regression</t>
  </si>
  <si>
    <t>Temporal</t>
  </si>
  <si>
    <t>Sum score</t>
  </si>
  <si>
    <t>Case-control</t>
  </si>
  <si>
    <t>Median</t>
  </si>
  <si>
    <t>Multiple imputation</t>
  </si>
  <si>
    <t>Cox regression</t>
  </si>
  <si>
    <t>Forward selection</t>
  </si>
  <si>
    <t>Non-random split data</t>
  </si>
  <si>
    <t>Nested case-control</t>
  </si>
  <si>
    <t>Machine learning techniques</t>
  </si>
  <si>
    <t>Cross-validation</t>
  </si>
  <si>
    <t>Different setting</t>
  </si>
  <si>
    <t>Score chart</t>
  </si>
  <si>
    <t>Median (min-max)</t>
  </si>
  <si>
    <t>(Add field)</t>
  </si>
  <si>
    <t>Neural network</t>
  </si>
  <si>
    <t>LASSO selection</t>
  </si>
  <si>
    <t>Different investigator</t>
  </si>
  <si>
    <t>Randomized trial</t>
  </si>
  <si>
    <t>Ridge regression</t>
  </si>
  <si>
    <t>Completely independent</t>
  </si>
  <si>
    <t>On-line calculator</t>
  </si>
  <si>
    <t>Combined data (e.g. IPD of combination of cohorts)</t>
  </si>
  <si>
    <t>App calculator</t>
  </si>
  <si>
    <t>Aggregated data</t>
  </si>
  <si>
    <t>Drop-down lists for CHARMS</t>
  </si>
  <si>
    <r>
      <rPr>
        <b/>
        <sz val="11"/>
        <color theme="4" tint="-0.499984740745262"/>
        <rFont val="Calibri"/>
        <family val="2"/>
        <scheme val="minor"/>
      </rPr>
      <t xml:space="preserve">SUMMARY TABLES </t>
    </r>
    <r>
      <rPr>
        <sz val="11"/>
        <color theme="1"/>
        <rFont val="Calibri"/>
        <family val="2"/>
        <scheme val="minor"/>
      </rPr>
      <t xml:space="preserve">
The summary tables will be automatically generated based on the information in the CHARMS and PROBAST forms.
 - Study Characteristics.
 - Model Characteristics.
 - Risk of Bias summary (PROBAST).
Go to:</t>
    </r>
  </si>
  <si>
    <r>
      <rPr>
        <b/>
        <sz val="11"/>
        <color theme="4" tint="-0.499984740745262"/>
        <rFont val="Calibri"/>
        <family val="2"/>
        <scheme val="minor"/>
      </rPr>
      <t>- HOME:</t>
    </r>
    <r>
      <rPr>
        <sz val="11"/>
        <color theme="1"/>
        <rFont val="Calibri"/>
        <family val="2"/>
        <scheme val="minor"/>
      </rPr>
      <t xml:space="preserve"> A description of the material in the file and instructions on how to use it.
</t>
    </r>
    <r>
      <rPr>
        <b/>
        <sz val="11"/>
        <color theme="4" tint="-0.499984740745262"/>
        <rFont val="Calibri"/>
        <family val="2"/>
        <scheme val="minor"/>
      </rPr>
      <t>- SUMMARY:</t>
    </r>
    <r>
      <rPr>
        <sz val="11"/>
        <color theme="1"/>
        <rFont val="Calibri"/>
        <family val="2"/>
        <scheme val="minor"/>
      </rPr>
      <t xml:space="preserve"> Table summarizing the status of the data extraction process and the assessment of bias and applicability.
</t>
    </r>
    <r>
      <rPr>
        <b/>
        <sz val="11"/>
        <color theme="4" tint="-0.499984740745262"/>
        <rFont val="Calibri"/>
        <family val="2"/>
        <scheme val="minor"/>
      </rPr>
      <t>- CHARMS:</t>
    </r>
    <r>
      <rPr>
        <sz val="11"/>
        <color theme="1"/>
        <rFont val="Calibri"/>
        <family val="2"/>
        <scheme val="minor"/>
      </rPr>
      <t xml:space="preserve"> Data extraction form
</t>
    </r>
    <r>
      <rPr>
        <b/>
        <sz val="11"/>
        <color theme="4" tint="-0.499984740745262"/>
        <rFont val="Calibri"/>
        <family val="2"/>
        <scheme val="minor"/>
      </rPr>
      <t>- PROBAST:</t>
    </r>
    <r>
      <rPr>
        <sz val="11"/>
        <color theme="1"/>
        <rFont val="Calibri"/>
        <family val="2"/>
        <scheme val="minor"/>
      </rPr>
      <t xml:space="preserve"> Risk of Bias and Applicability Assessment form
</t>
    </r>
    <r>
      <rPr>
        <b/>
        <sz val="11"/>
        <color theme="4" tint="-0.499984740745262"/>
        <rFont val="Calibri"/>
        <family val="2"/>
        <scheme val="minor"/>
      </rPr>
      <t>- TABLES:</t>
    </r>
    <r>
      <rPr>
        <sz val="11"/>
        <color theme="1"/>
        <rFont val="Calibri"/>
        <family val="2"/>
        <scheme val="minor"/>
      </rPr>
      <t xml:space="preserve"> A proposal tables containing information on study characteristics, models characteristics, and an overview of risk of bias assessment and applicability.</t>
    </r>
  </si>
  <si>
    <t>Fernández-Hidalgo (b)</t>
  </si>
  <si>
    <t>Fernández-Hidalgo (a)</t>
  </si>
  <si>
    <t>Bansal et al.</t>
  </si>
  <si>
    <t>Hamilton et al.</t>
  </si>
  <si>
    <t>Mortazavi et al.</t>
  </si>
  <si>
    <t>Kulkarni et al.</t>
  </si>
  <si>
    <t>Niimi et al.</t>
  </si>
  <si>
    <t>Rayfield et al.</t>
  </si>
  <si>
    <t>Zhao et al.</t>
  </si>
  <si>
    <t>Hurley et al.</t>
  </si>
  <si>
    <t>MACHINE LEARNING TECHNIQUES TO PREDICT IN-HOSPITAL CARDIOVASCULAR OUTCOMES IN ELDERLY PATIENTS PRESENTING WITH ACUTE MYOCARDIAL INFARCTION</t>
  </si>
  <si>
    <t>A novel tool for highly reliable and accurate prediction of multiple complications in patients undergoing percutaneous coronary intervention</t>
  </si>
  <si>
    <t>Merging Machine Learning and Patient Preference: A Contemporary, Comprehensive, Patient-Centered Tool for Risk Prediction Prior to Percutaneous Coronary Intervention</t>
  </si>
  <si>
    <t>Comparison of Machine Learning Methods With National Cardiovascular Data Registry Models for Prediction of Risk of Bleeding After Percutaneous Coronary Intervention</t>
  </si>
  <si>
    <t>Artificial intelligence in percutaneous coronary intervention: improved risk prediction of PCI-related complications using an artificial neural network</t>
  </si>
  <si>
    <t>Machine learning models for prediction of adverse events after percutaneous coronary intervention</t>
  </si>
  <si>
    <t>Machine learning on high-dimensional data to predict bleeding post percutaneous coronary intervention</t>
  </si>
  <si>
    <t>Machine learning for prediction of bleeding in acute myocardial infarction patients after percutaneous coronary intervention</t>
  </si>
  <si>
    <t>A dynamic model to estimate evolving risk of major bleeding after percutaneous coronary intervention</t>
  </si>
  <si>
    <t xml:space="preserve">Journal of the American College of Cardiology </t>
  </si>
  <si>
    <t>Circulation</t>
  </si>
  <si>
    <t>JAMA network open</t>
  </si>
  <si>
    <t>BMJ Innovations</t>
  </si>
  <si>
    <t>Scientific Reports</t>
  </si>
  <si>
    <t>Journal of Invasive Cardiology</t>
  </si>
  <si>
    <t>Therapeutic advances in chronic disease</t>
  </si>
  <si>
    <t>medRxiv</t>
  </si>
  <si>
    <t>XGBoost</t>
  </si>
  <si>
    <t>Random Forest</t>
  </si>
  <si>
    <t>Blended model with gradient descent boosting</t>
  </si>
  <si>
    <t>MLP</t>
  </si>
  <si>
    <t>AI-BR model</t>
  </si>
  <si>
    <t>2005-2018</t>
  </si>
  <si>
    <t>Cleveland Clinic CathPCI</t>
  </si>
  <si>
    <t>USA</t>
  </si>
  <si>
    <t xml:space="preserve"> Patients &gt;70 years presenting with acute myocardial
infarction</t>
  </si>
  <si>
    <t>PCI type</t>
  </si>
  <si>
    <t>CAD type</t>
  </si>
  <si>
    <t>PCI</t>
  </si>
  <si>
    <t>Acute MI</t>
  </si>
  <si>
    <t>In-hospital bleeding</t>
  </si>
  <si>
    <t>In hospital</t>
  </si>
  <si>
    <t>Not Applicable</t>
  </si>
  <si>
    <t>Utilizing machine learning techniques can predict in hospital  major bleeding amongst elderly patients presenting with acute myocardial infarction</t>
  </si>
  <si>
    <t>2018-2020</t>
  </si>
  <si>
    <t>BMC2 registry</t>
  </si>
  <si>
    <t>PCI patients</t>
  </si>
  <si>
    <t>NI</t>
  </si>
  <si>
    <t>pre-procedural clinical and laboratory</t>
  </si>
  <si>
    <t>Boosted classification tree</t>
  </si>
  <si>
    <t>0.859 (0.846 to 0.872)</t>
  </si>
  <si>
    <t>0.892 (0.861 to 0.922)</t>
  </si>
  <si>
    <t>The risk of post-PCI major bleeding can be accurately calculated using a random forest algorithm of common pre-procedural factors to help better inform clinicians of a patient’s risk for better treatment selection and shared decision-making.</t>
  </si>
  <si>
    <t>Utilizing patient feedback, we created a patient-centered tool to clearly display risks to patients and providers</t>
  </si>
  <si>
    <t>2015-2017</t>
  </si>
  <si>
    <t>2009-2018</t>
  </si>
  <si>
    <t xml:space="preserve"> NCDR Cath PCI 4.4</t>
  </si>
  <si>
    <t>NCDR Cath PCI for BJC</t>
  </si>
  <si>
    <t>Percutaneous coronary intervention procedures were excluded if they were not the index PCI of admission, if the hospital site had missing outcomes measures, or if the patient underwent subsequent coronary artery bypass grafting.</t>
  </si>
  <si>
    <t>excluded patients with missing indications (n = 967), those without pre- and post-procedure hemoglobin (n = 901), and those without pre- and post-procedure serum creatinine (n = 22) (analytic cohort), Missing for Hgb (6474)</t>
  </si>
  <si>
    <t>Any Missing data</t>
  </si>
  <si>
    <t>not received PCI, only received BMS, not received DAPT</t>
  </si>
  <si>
    <t>we excluded patients during readmissions, who died in the hospital, who had missing data regarding if they had any bleeding events, or who underwent coronary artery bypass grafting (CABG) during the index admission</t>
  </si>
  <si>
    <t>AMI patients undergoing PCI</t>
  </si>
  <si>
    <t>Japan</t>
  </si>
  <si>
    <t>JCD-KiCS registry</t>
  </si>
  <si>
    <t>MayoClinic Health Systems</t>
  </si>
  <si>
    <t>2006-2017</t>
  </si>
  <si>
    <t>2009-2015</t>
  </si>
  <si>
    <t>2013-2016</t>
  </si>
  <si>
    <t>CAMI registry</t>
  </si>
  <si>
    <t>NCDR CathPCI</t>
  </si>
  <si>
    <t>China</t>
  </si>
  <si>
    <t>Multicenter</t>
  </si>
  <si>
    <t>Stable IHD + ACS</t>
  </si>
  <si>
    <t>65 (56-73)</t>
  </si>
  <si>
    <t>65.6 (12)</t>
  </si>
  <si>
    <t>ACS+SIHD</t>
  </si>
  <si>
    <t>70 (62-77)</t>
  </si>
  <si>
    <t>67 (58-77)</t>
  </si>
  <si>
    <t>60.08 (12.64)</t>
  </si>
  <si>
    <t>64.6 (12)</t>
  </si>
  <si>
    <t>In-hospital Bleeding</t>
  </si>
  <si>
    <t xml:space="preserve"> BARC type 3 or 5 of non-coronary artery bypass grafting–related bleeding</t>
  </si>
  <si>
    <t>Bleeding was defined using the definition employed in prior NCDR risk models as a hemoglobin drop ≥ 3 g/dL, whole blood or packed red blood cell transfusion, or intervention/surgery at the bleeding site to reverse/stop or correct bleeding.</t>
  </si>
  <si>
    <t>1) Major bleeding occurring within 72 hours after the PCI or before discharge is said to have occurred if there is a site-reported bleed (external or hematoma &gt;10 cm, &gt;5 cm, and &gt;2 cm for femoral, brachial, and radial access, respectively); 2) Bleeds reflecting a post-PCI hemoglobin decrease of 3 g/dL in patients with a pre-PCI level of at least 16 g/dL; 3) Any non-surgery blood transfusion for pre procedure hemoglobin levels of at least 8 g/dL; 4) intracranial hemorrhage,
cardiac tamponade, and gastrointestinal or retroperitoneal bleeding.</t>
  </si>
  <si>
    <t>any ONE of the following: (1) bleeding event w/in 72 hours; OR (2) haemorrhagic stroke; OR (3) tamponade; OR (4) post-PCI transfusion for patients with a pre-procedure haemoglobin &gt;80 g/L and pre-procedure haemoglobin not missing; OR (5) absolute haemoglobin decrease from pre-PCI to post-PCI of ≥30 g/L AND pre-procedure haemoglobin ≤160 g/L AND pre-procedure haemoglobin not missing</t>
  </si>
  <si>
    <t>Bleeding was defined as any of the following occurring within 72 h after PCI or before hospital discharge (whichever occurs first): site-reported arterial access site bleeding; retroperitoneal, gastrointestinal, genitourinary bleeding, intracranial hemorrhage, cardiac tamponade, or post-procedure hemoglobin decrease of 3 g/dl in patients with pre-procedure haemoglobin ≤ 16 g/dl, or post procedure non-bypass surgery-related blood transfusion for patients with a pre-procedure haemoglobin ≥ 8 g/dl.</t>
  </si>
  <si>
    <t>bleeding within 72 hours of PCI and prior to hospital discharge. Bleeding was defined according to the National Cardiovascular Data Registry (NCDR), which considers retroperitoneal, gastrointestinal, genitourinary, and intracranial bleeding, as well as access-site hematoma, as bleeding events.</t>
  </si>
  <si>
    <t>pre-procedural and diagnostic cath</t>
  </si>
  <si>
    <t>pre- and post-procedural</t>
  </si>
  <si>
    <t>categorized and continuous</t>
  </si>
  <si>
    <t>No categorization</t>
  </si>
  <si>
    <t>clinical, laboratory and PCI characteristics</t>
  </si>
  <si>
    <t>pre-procedural</t>
  </si>
  <si>
    <t>pre-procedural and procedural</t>
  </si>
  <si>
    <t>clinical, laboratory and PCI status</t>
  </si>
  <si>
    <t>Pre-PCI and PCI characteristics</t>
  </si>
  <si>
    <t>0.79 (0.76 to 0.81)</t>
  </si>
  <si>
    <t>0.837 (0.772-0.903)</t>
  </si>
  <si>
    <t>0.845 (0.845 to 0.845)</t>
  </si>
  <si>
    <t>0.82 (0.82 to 0.82)</t>
  </si>
  <si>
    <t>0.859 (0.8363-0.8818)</t>
  </si>
  <si>
    <t>integrated discrimination improvement</t>
  </si>
  <si>
    <t>0119 (0.119-0.119)</t>
  </si>
  <si>
    <t>Unknown</t>
  </si>
  <si>
    <t xml:space="preserve">We demonstrated that machine learning techniques will not necessarily do the work of improving predictive value and that a key to successful implementation is the use of variables in a way that does not reduce information. </t>
  </si>
  <si>
    <t>Using neural network-based models, we accurately predict major adverse events after PCI.</t>
  </si>
  <si>
    <t>All of the original NCDR-CathPCI risk scores for adverse periprocedural events showed adequate discrimination and calibration within our cohort. When using the ML-based technique, however, the improvement in the overall risk prediction was minimal.</t>
  </si>
  <si>
    <t xml:space="preserve">The AI-BR model accurately predicts bleeding post PCI and outperforms the ACC-BR model in predicting the risk of bleeding in patients undergoing PCI. </t>
  </si>
  <si>
    <t xml:space="preserve">the results showed that the XGBoost method can establish a risk model for accurately predicting in-hospital hemorrhage in patients with AMI, and its predictive value is better than the traditional bleeding scores. </t>
  </si>
  <si>
    <t>Accounting for the time-varying nature of data and capturing the association between treatment decisions and changes in risk provide up-to-date information that may guide individualized care throughout a hospitalization.</t>
  </si>
  <si>
    <t>Only included older patients</t>
  </si>
  <si>
    <t>No information about why 9% of the population was excluded.</t>
  </si>
  <si>
    <t>A sensitivity analysis with multiple imputation using all prespecified predictors and outcomes confirmed the main results.</t>
  </si>
  <si>
    <t>Best performing model (Blended model with gradient descent boosting) included post-pci variables that may limit the applicability of the model. However, authors also provided other models with pre-pci predictors that almost had identical c-statistic (0.81) to the post-pci model.</t>
  </si>
  <si>
    <t>Best performing model (Model 3) included pci variables that may limit the applicability of the model. However, authors also provided other models with pre-pci predictors that almost had identical c-statistic (0.85) to the pci model.</t>
  </si>
  <si>
    <t>Model contains procedural variables that may not be applicable before the pci.</t>
  </si>
  <si>
    <t>Best performing model included pci variables that may limit the applicability of the model. However, authors also provided other model with pre-pci predictors that almost had identical c-statistic to the pci model.</t>
  </si>
  <si>
    <t>Best performing model included pci variables that may limit the applicability of the model. However, authors also provided other model with pre-pci predictors that almost had similar c-statistic to the pci model.</t>
  </si>
  <si>
    <t>Knowledge of the predictors is unlikely to introduce bias and lower the apllicability of the model.</t>
  </si>
  <si>
    <t>Abstract, low amount of information</t>
  </si>
  <si>
    <t>some predictors like EF had a large number of missing values (29.9%) that were corrected using simple imputation.</t>
  </si>
  <si>
    <t>small EPP, data leakage due to tuning the hyperparameters on the internal test set. Imputed missing values with -1. Some of the registry data was excluded for unknown reasons.</t>
  </si>
  <si>
    <t>used ross-validation only in the training dataset and the internal test was based on a random split.</t>
  </si>
  <si>
    <t>Very small EPP</t>
  </si>
  <si>
    <t>Very small EPP, used random splitting for internal test.</t>
  </si>
  <si>
    <t>2008-2020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</si>
</sst>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2"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i/>
      <sz val="11"/>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b/>
      <sz val="11"/>
      <color theme="8" tint="-0.499984740745262"/>
      <name val="Calibri"/>
      <family val="2"/>
      <scheme val="minor"/>
    </font>
    <font>
      <b/>
      <sz val="10"/>
      <color theme="1"/>
      <name val="Calibri"/>
      <family val="2"/>
      <scheme val="minor"/>
    </font>
    <font>
      <sz val="9"/>
      <color theme="1"/>
      <name val="Calibri"/>
      <family val="2"/>
      <scheme val="minor"/>
    </font>
    <font>
      <b/>
      <sz val="16"/>
      <color theme="1"/>
      <name val="Calibri"/>
      <family val="2"/>
      <scheme val="minor"/>
    </font>
    <font>
      <b/>
      <i/>
      <sz val="10"/>
      <color theme="1"/>
      <name val="Calibri"/>
      <family val="2"/>
      <scheme val="minor"/>
    </font>
    <font>
      <b/>
      <i/>
      <u/>
      <sz val="14"/>
      <color theme="8" tint="-0.249977111117893"/>
      <name val="Calibri"/>
      <family val="2"/>
      <scheme val="minor"/>
    </font>
    <font>
      <sz val="11"/>
      <color theme="0"/>
      <name val="Calibri"/>
      <family val="2"/>
      <scheme val="minor"/>
    </font>
    <font>
      <i/>
      <sz val="9"/>
      <color theme="1"/>
      <name val="Calibri"/>
      <family val="2"/>
      <scheme val="minor"/>
    </font>
    <font>
      <i/>
      <sz val="9"/>
      <color theme="2" tint="-0.499984740745262"/>
      <name val="Calibri"/>
      <family val="2"/>
      <scheme val="minor"/>
    </font>
    <font>
      <sz val="10"/>
      <color theme="1"/>
      <name val="Calibri"/>
      <family val="2"/>
      <scheme val="minor"/>
    </font>
    <font>
      <b/>
      <sz val="10"/>
      <color theme="4" tint="-0.499984740745262"/>
      <name val="Calibri"/>
      <family val="2"/>
      <scheme val="minor"/>
    </font>
    <font>
      <sz val="11"/>
      <name val="Calibri"/>
      <family val="2"/>
      <scheme val="minor"/>
    </font>
    <font>
      <sz val="10"/>
      <color theme="4" tint="-0.499984740745262"/>
      <name val="Calibri"/>
      <family val="2"/>
      <scheme val="minor"/>
    </font>
    <font>
      <vertAlign val="superscript"/>
      <sz val="10"/>
      <color theme="1"/>
      <name val="Calibri"/>
      <family val="2"/>
      <scheme val="minor"/>
    </font>
    <font>
      <sz val="10"/>
      <color theme="0"/>
      <name val="Calibri"/>
      <family val="2"/>
      <scheme val="minor"/>
    </font>
    <font>
      <sz val="11"/>
      <color rgb="FF333333"/>
      <name val="Arial"/>
      <family val="2"/>
    </font>
    <font>
      <b/>
      <sz val="11"/>
      <name val="Calibri"/>
      <family val="2"/>
      <scheme val="minor"/>
    </font>
    <font>
      <u/>
      <sz val="11"/>
      <color theme="10"/>
      <name val="Calibri"/>
      <family val="2"/>
      <scheme val="minor"/>
    </font>
    <font>
      <b/>
      <sz val="12"/>
      <color theme="1"/>
      <name val="Calibri Light"/>
      <family val="2"/>
      <scheme val="major"/>
    </font>
    <font>
      <i/>
      <sz val="10"/>
      <color theme="0" tint="-0.249977111117893"/>
      <name val="Calibri"/>
      <family val="2"/>
      <scheme val="minor"/>
    </font>
    <font>
      <i/>
      <sz val="10"/>
      <color theme="1"/>
      <name val="Calibri"/>
      <family val="2"/>
      <scheme val="minor"/>
    </font>
    <font>
      <sz val="11"/>
      <color theme="1"/>
      <name val="Calibri Light"/>
      <family val="2"/>
      <scheme val="major"/>
    </font>
    <font>
      <b/>
      <sz val="9"/>
      <color theme="1"/>
      <name val="Calibri Light"/>
      <family val="2"/>
      <scheme val="major"/>
    </font>
    <font>
      <sz val="9"/>
      <color theme="1"/>
      <name val="Calibri Light"/>
      <family val="2"/>
      <scheme val="major"/>
    </font>
    <font>
      <sz val="14"/>
      <color theme="1"/>
      <name val="Calibri Light"/>
      <family val="2"/>
      <scheme val="major"/>
    </font>
    <font>
      <b/>
      <sz val="9"/>
      <color theme="4" tint="-0.499984740745262"/>
      <name val="Calibri Light"/>
      <family val="2"/>
      <scheme val="major"/>
    </font>
    <font>
      <sz val="9"/>
      <color theme="0"/>
      <name val="Calibri Light"/>
      <family val="2"/>
      <scheme val="major"/>
    </font>
    <font>
      <b/>
      <sz val="9"/>
      <name val="Calibri Light"/>
      <family val="2"/>
      <scheme val="major"/>
    </font>
    <font>
      <sz val="9"/>
      <name val="Calibri Light"/>
      <family val="2"/>
      <scheme val="major"/>
    </font>
    <font>
      <sz val="10"/>
      <name val="Calibri Light"/>
      <family val="2"/>
      <scheme val="major"/>
    </font>
    <font>
      <b/>
      <sz val="10"/>
      <name val="Calibri Light"/>
      <family val="2"/>
      <scheme val="major"/>
    </font>
    <font>
      <sz val="12"/>
      <name val="Calibri Light"/>
      <family val="2"/>
      <scheme val="major"/>
    </font>
    <font>
      <sz val="12"/>
      <color theme="0"/>
      <name val="Calibri Light"/>
      <family val="2"/>
      <scheme val="major"/>
    </font>
    <font>
      <sz val="11"/>
      <color theme="0"/>
      <name val="Calibri Light"/>
      <family val="2"/>
      <scheme val="major"/>
    </font>
    <font>
      <b/>
      <sz val="16"/>
      <color theme="4" tint="-0.499984740745262"/>
      <name val="Constantia"/>
      <family val="1"/>
    </font>
    <font>
      <b/>
      <sz val="16"/>
      <color theme="8" tint="-0.249977111117893"/>
      <name val="Constantia"/>
      <family val="1"/>
    </font>
    <font>
      <b/>
      <sz val="11"/>
      <color theme="1"/>
      <name val="Calibri Light"/>
      <family val="2"/>
      <scheme val="major"/>
    </font>
    <font>
      <b/>
      <sz val="12"/>
      <color theme="4" tint="-0.499984740745262"/>
      <name val="Calibri"/>
      <family val="2"/>
      <scheme val="minor"/>
    </font>
    <font>
      <sz val="11"/>
      <color theme="4" tint="-0.499984740745262"/>
      <name val="Calibri"/>
      <family val="2"/>
      <scheme val="minor"/>
    </font>
    <font>
      <b/>
      <u/>
      <sz val="14"/>
      <color theme="4" tint="-0.499984740745262"/>
      <name val="Calibri"/>
      <family val="2"/>
      <scheme val="minor"/>
    </font>
    <font>
      <vertAlign val="superscript"/>
      <sz val="11"/>
      <color theme="1"/>
      <name val="Calibri"/>
      <family val="2"/>
      <scheme val="minor"/>
    </font>
    <font>
      <b/>
      <sz val="12"/>
      <color rgb="FF0070C0"/>
      <name val="Calibri"/>
      <family val="2"/>
      <scheme val="minor"/>
    </font>
    <font>
      <b/>
      <sz val="11"/>
      <color rgb="FF0070C0"/>
      <name val="Calibri"/>
      <family val="2"/>
      <scheme val="minor"/>
    </font>
    <font>
      <b/>
      <sz val="11"/>
      <color theme="4" tint="-0.499984740745262"/>
      <name val="Calibri"/>
      <family val="2"/>
      <scheme val="minor"/>
    </font>
  </fonts>
  <fills count="9">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499984740745262"/>
        <bgColor indexed="64"/>
      </patternFill>
    </fill>
    <fill>
      <patternFill patternType="solid">
        <fgColor rgb="FFFFFF00"/>
        <bgColor indexed="64"/>
      </patternFill>
    </fill>
  </fills>
  <borders count="13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4" tint="-0.499984740745262"/>
      </bottom>
      <diagonal/>
    </border>
    <border>
      <left style="thin">
        <color theme="0"/>
      </left>
      <right style="thin">
        <color theme="0"/>
      </right>
      <top/>
      <bottom style="thin">
        <color theme="0"/>
      </bottom>
      <diagonal/>
    </border>
    <border>
      <left/>
      <right/>
      <top style="thin">
        <color theme="4" tint="-0.499984740745262"/>
      </top>
      <bottom style="thin">
        <color theme="2"/>
      </bottom>
      <diagonal/>
    </border>
    <border>
      <left/>
      <right/>
      <top style="thin">
        <color theme="2"/>
      </top>
      <bottom style="thin">
        <color theme="4" tint="-0.499984740745262"/>
      </bottom>
      <diagonal/>
    </border>
    <border>
      <left style="thin">
        <color theme="0"/>
      </left>
      <right style="thin">
        <color theme="0"/>
      </right>
      <top style="medium">
        <color theme="4" tint="-0.499984740745262"/>
      </top>
      <bottom style="thin">
        <color theme="0"/>
      </bottom>
      <diagonal/>
    </border>
    <border>
      <left/>
      <right/>
      <top style="thin">
        <color theme="2"/>
      </top>
      <bottom style="thin">
        <color theme="2"/>
      </bottom>
      <diagonal/>
    </border>
    <border>
      <left/>
      <right style="thin">
        <color theme="4" tint="-0.499984740745262"/>
      </right>
      <top style="thin">
        <color theme="2"/>
      </top>
      <bottom style="thin">
        <color theme="2"/>
      </bottom>
      <diagonal/>
    </border>
    <border>
      <left/>
      <right/>
      <top/>
      <bottom style="thin">
        <color theme="2"/>
      </bottom>
      <diagonal/>
    </border>
    <border>
      <left/>
      <right style="thin">
        <color theme="4" tint="-0.499984740745262"/>
      </right>
      <top style="thin">
        <color theme="2"/>
      </top>
      <bottom style="thin">
        <color theme="4" tint="-0.499984740745262"/>
      </bottom>
      <diagonal/>
    </border>
    <border>
      <left style="thin">
        <color theme="0"/>
      </left>
      <right/>
      <top style="thin">
        <color theme="2"/>
      </top>
      <bottom style="thin">
        <color theme="2"/>
      </bottom>
      <diagonal/>
    </border>
    <border>
      <left style="thin">
        <color theme="0"/>
      </left>
      <right style="thin">
        <color theme="0"/>
      </right>
      <top style="thin">
        <color theme="0"/>
      </top>
      <bottom/>
      <diagonal/>
    </border>
    <border>
      <left style="thin">
        <color theme="0"/>
      </left>
      <right style="thin">
        <color theme="0"/>
      </right>
      <top style="thin">
        <color theme="4" tint="-0.499984740745262"/>
      </top>
      <bottom style="thin">
        <color theme="4" tint="-0.4999847407452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thin">
        <color theme="2"/>
      </top>
      <bottom/>
      <diagonal/>
    </border>
    <border>
      <left/>
      <right/>
      <top style="thin">
        <color theme="2"/>
      </top>
      <bottom/>
      <diagonal/>
    </border>
    <border>
      <left/>
      <right style="thin">
        <color theme="4" tint="-0.499984740745262"/>
      </right>
      <top/>
      <bottom style="thin">
        <color theme="2"/>
      </bottom>
      <diagonal/>
    </border>
    <border>
      <left/>
      <right/>
      <top/>
      <bottom style="thin">
        <color theme="4" tint="-0.499984740745262"/>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0"/>
      </left>
      <right style="thin">
        <color theme="0"/>
      </right>
      <top style="thin">
        <color theme="4" tint="-0.499984740745262"/>
      </top>
      <bottom style="thin">
        <color theme="0"/>
      </bottom>
      <diagonal/>
    </border>
    <border>
      <left/>
      <right style="thin">
        <color theme="4" tint="-0.499984740745262"/>
      </right>
      <top/>
      <bottom style="medium">
        <color theme="4" tint="-0.499984740745262"/>
      </bottom>
      <diagonal/>
    </border>
    <border>
      <left/>
      <right/>
      <top style="medium">
        <color theme="4" tint="-0.499984740745262"/>
      </top>
      <bottom style="thin">
        <color theme="4" tint="-0.499984740745262"/>
      </bottom>
      <diagonal/>
    </border>
    <border>
      <left style="thin">
        <color theme="4" tint="-0.499984740745262"/>
      </left>
      <right/>
      <top style="medium">
        <color theme="4" tint="-0.499984740745262"/>
      </top>
      <bottom style="thin">
        <color theme="4" tint="-0.499984740745262"/>
      </bottom>
      <diagonal/>
    </border>
    <border>
      <left/>
      <right style="thin">
        <color theme="4" tint="-0.499984740745262"/>
      </right>
      <top style="medium">
        <color theme="4" tint="-0.499984740745262"/>
      </top>
      <bottom style="thin">
        <color theme="4" tint="-0.499984740745262"/>
      </bottom>
      <diagonal/>
    </border>
    <border>
      <left style="thin">
        <color theme="4" tint="-0.499984740745262"/>
      </left>
      <right/>
      <top style="thin">
        <color theme="2"/>
      </top>
      <bottom style="thin">
        <color theme="4" tint="-0.499984740745262"/>
      </bottom>
      <diagonal/>
    </border>
    <border>
      <left style="thin">
        <color theme="4" tint="-0.499984740745262"/>
      </left>
      <right/>
      <top style="thin">
        <color theme="2"/>
      </top>
      <bottom style="thin">
        <color theme="2"/>
      </bottom>
      <diagonal/>
    </border>
    <border>
      <left style="thin">
        <color theme="4" tint="-0.499984740745262"/>
      </left>
      <right/>
      <top style="thin">
        <color theme="4" tint="-0.499984740745262"/>
      </top>
      <bottom style="thin">
        <color theme="2"/>
      </bottom>
      <diagonal/>
    </border>
    <border>
      <left style="thin">
        <color theme="4" tint="-0.499984740745262"/>
      </left>
      <right/>
      <top/>
      <bottom style="thin">
        <color theme="2"/>
      </bottom>
      <diagonal/>
    </border>
    <border>
      <left/>
      <right/>
      <top style="thin">
        <color indexed="64"/>
      </top>
      <bottom style="thin">
        <color indexed="64"/>
      </bottom>
      <diagonal/>
    </border>
    <border>
      <left/>
      <right/>
      <top style="thin">
        <color auto="1"/>
      </top>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8" tint="-0.499984740745262"/>
      </left>
      <right style="thin">
        <color theme="0"/>
      </right>
      <top style="thin">
        <color theme="4" tint="-0.499984740745262"/>
      </top>
      <bottom style="thin">
        <color theme="8" tint="-0.499984740745262"/>
      </bottom>
      <diagonal/>
    </border>
    <border>
      <left style="thin">
        <color theme="0"/>
      </left>
      <right style="thin">
        <color theme="0"/>
      </right>
      <top style="thin">
        <color theme="4" tint="-0.499984740745262"/>
      </top>
      <bottom style="thin">
        <color theme="8" tint="-0.499984740745262"/>
      </bottom>
      <diagonal/>
    </border>
    <border>
      <left/>
      <right style="thin">
        <color theme="4" tint="-0.499984740745262"/>
      </right>
      <top style="thin">
        <color theme="4" tint="-0.499984740745262"/>
      </top>
      <bottom style="thin">
        <color theme="8" tint="-0.499984740745262"/>
      </bottom>
      <diagonal/>
    </border>
    <border>
      <left style="thin">
        <color theme="4" tint="-0.499984740745262"/>
      </left>
      <right/>
      <top style="thin">
        <color theme="4" tint="-0.499984740745262"/>
      </top>
      <bottom style="thin">
        <color theme="8" tint="-0.499984740745262"/>
      </bottom>
      <diagonal/>
    </border>
    <border>
      <left/>
      <right/>
      <top style="thin">
        <color theme="4" tint="-0.499984740745262"/>
      </top>
      <bottom style="thin">
        <color theme="8" tint="-0.499984740745262"/>
      </bottom>
      <diagonal/>
    </border>
    <border>
      <left style="thin">
        <color theme="0"/>
      </left>
      <right/>
      <top style="thin">
        <color theme="4" tint="-0.499984740745262"/>
      </top>
      <bottom/>
      <diagonal/>
    </border>
    <border>
      <left/>
      <right/>
      <top style="thin">
        <color theme="4" tint="-0.499984740745262"/>
      </top>
      <bottom/>
      <diagonal/>
    </border>
    <border>
      <left style="thin">
        <color theme="0"/>
      </left>
      <right/>
      <top/>
      <bottom style="medium">
        <color theme="4" tint="-0.499984740745262"/>
      </bottom>
      <diagonal/>
    </border>
    <border>
      <left/>
      <right/>
      <top/>
      <bottom style="medium">
        <color theme="4" tint="-0.499984740745262"/>
      </bottom>
      <diagonal/>
    </border>
    <border>
      <left style="thin">
        <color theme="4" tint="-0.499984740745262"/>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style="medium">
        <color theme="4" tint="-0.499984740745262"/>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style="thin">
        <color theme="2"/>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thin">
        <color theme="0"/>
      </bottom>
      <diagonal/>
    </border>
    <border>
      <left style="thin">
        <color theme="4" tint="-0.499984740745262"/>
      </left>
      <right style="thin">
        <color theme="4" tint="-0.499984740745262"/>
      </right>
      <top style="thin">
        <color theme="0"/>
      </top>
      <bottom style="thin">
        <color theme="4" tint="-0.499984740745262"/>
      </bottom>
      <diagonal/>
    </border>
    <border>
      <left style="thin">
        <color theme="4" tint="-0.499984740745262"/>
      </left>
      <right style="thin">
        <color theme="4" tint="-0.499984740745262"/>
      </right>
      <top style="thin">
        <color theme="0"/>
      </top>
      <bottom style="thin">
        <color theme="0"/>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4" tint="-0.499984740745262"/>
      </bottom>
      <diagonal/>
    </border>
    <border>
      <left style="thin">
        <color theme="4" tint="-0.499984740745262"/>
      </left>
      <right style="thin">
        <color theme="4" tint="-0.499984740745262"/>
      </right>
      <top/>
      <bottom style="thin">
        <color theme="0" tint="-4.9989318521683403E-2"/>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theme="0"/>
      </left>
      <right/>
      <top style="thin">
        <color theme="4" tint="-0.499984740745262"/>
      </top>
      <bottom style="thin">
        <color theme="2"/>
      </bottom>
      <diagonal/>
    </border>
    <border>
      <left/>
      <right style="thin">
        <color theme="4" tint="-0.499984740745262"/>
      </right>
      <top style="thin">
        <color theme="4" tint="-0.499984740745262"/>
      </top>
      <bottom style="thin">
        <color theme="2"/>
      </bottom>
      <diagonal/>
    </border>
    <border>
      <left style="thin">
        <color theme="0"/>
      </left>
      <right/>
      <top style="thin">
        <color theme="2"/>
      </top>
      <bottom/>
      <diagonal/>
    </border>
    <border>
      <left style="thin">
        <color theme="0"/>
      </left>
      <right/>
      <top style="thin">
        <color theme="4" tint="-0.499984740745262"/>
      </top>
      <bottom style="thin">
        <color theme="4" tint="-0.499984740745262"/>
      </bottom>
      <diagonal/>
    </border>
    <border>
      <left style="thin">
        <color theme="0"/>
      </left>
      <right/>
      <top style="thin">
        <color theme="2"/>
      </top>
      <bottom style="thin">
        <color theme="4" tint="-0.499984740745262"/>
      </bottom>
      <diagonal/>
    </border>
    <border>
      <left style="thin">
        <color theme="0"/>
      </left>
      <right/>
      <top/>
      <bottom style="thin">
        <color theme="2"/>
      </bottom>
      <diagonal/>
    </border>
    <border>
      <left/>
      <right/>
      <top style="thin">
        <color theme="8" tint="-0.499984740745262"/>
      </top>
      <bottom style="thin">
        <color theme="4" tint="-0.499984740745262"/>
      </bottom>
      <diagonal/>
    </border>
    <border>
      <left style="thin">
        <color theme="0"/>
      </left>
      <right/>
      <top style="thin">
        <color theme="4" tint="-0.499984740745262"/>
      </top>
      <bottom style="thin">
        <color theme="8" tint="-0.499984740745262"/>
      </bottom>
      <diagonal/>
    </border>
    <border>
      <left style="thin">
        <color theme="4" tint="-0.499984740745262"/>
      </left>
      <right style="thin">
        <color theme="0" tint="-0.14996795556505021"/>
      </right>
      <top style="thin">
        <color theme="4" tint="-0.499984740745262"/>
      </top>
      <bottom style="thin">
        <color theme="2"/>
      </bottom>
      <diagonal/>
    </border>
    <border>
      <left style="thin">
        <color theme="0" tint="-0.14996795556505021"/>
      </left>
      <right style="thin">
        <color theme="0" tint="-0.14996795556505021"/>
      </right>
      <top style="thin">
        <color theme="4" tint="-0.499984740745262"/>
      </top>
      <bottom style="thin">
        <color theme="2"/>
      </bottom>
      <diagonal/>
    </border>
    <border>
      <left style="thin">
        <color theme="0" tint="-0.14996795556505021"/>
      </left>
      <right/>
      <top style="thin">
        <color theme="4" tint="-0.499984740745262"/>
      </top>
      <bottom style="thin">
        <color theme="2"/>
      </bottom>
      <diagonal/>
    </border>
    <border>
      <left style="thin">
        <color theme="4" tint="-0.499984740745262"/>
      </left>
      <right style="thin">
        <color theme="0" tint="-0.14996795556505021"/>
      </right>
      <top style="thin">
        <color theme="2"/>
      </top>
      <bottom style="thin">
        <color theme="2"/>
      </bottom>
      <diagonal/>
    </border>
    <border>
      <left style="thin">
        <color theme="0" tint="-0.14996795556505021"/>
      </left>
      <right style="thin">
        <color theme="0" tint="-0.14996795556505021"/>
      </right>
      <top style="thin">
        <color theme="2"/>
      </top>
      <bottom style="thin">
        <color theme="2"/>
      </bottom>
      <diagonal/>
    </border>
    <border>
      <left style="thin">
        <color theme="0" tint="-0.14996795556505021"/>
      </left>
      <right/>
      <top style="thin">
        <color theme="2"/>
      </top>
      <bottom style="thin">
        <color theme="2"/>
      </bottom>
      <diagonal/>
    </border>
    <border>
      <left style="thin">
        <color theme="4" tint="-0.499984740745262"/>
      </left>
      <right style="thin">
        <color theme="0" tint="-0.14996795556505021"/>
      </right>
      <top style="thin">
        <color theme="2"/>
      </top>
      <bottom style="thin">
        <color theme="4" tint="-0.499984740745262"/>
      </bottom>
      <diagonal/>
    </border>
    <border>
      <left style="thin">
        <color theme="0" tint="-0.14996795556505021"/>
      </left>
      <right style="thin">
        <color theme="0" tint="-0.14996795556505021"/>
      </right>
      <top style="thin">
        <color theme="2"/>
      </top>
      <bottom style="thin">
        <color theme="4" tint="-0.499984740745262"/>
      </bottom>
      <diagonal/>
    </border>
    <border>
      <left style="thin">
        <color theme="0" tint="-0.14996795556505021"/>
      </left>
      <right/>
      <top style="thin">
        <color theme="2"/>
      </top>
      <bottom style="thin">
        <color theme="4" tint="-0.499984740745262"/>
      </bottom>
      <diagonal/>
    </border>
    <border>
      <left style="medium">
        <color indexed="64"/>
      </left>
      <right/>
      <top/>
      <bottom/>
      <diagonal/>
    </border>
    <border>
      <left/>
      <right style="medium">
        <color indexed="64"/>
      </right>
      <top/>
      <bottom/>
      <diagonal/>
    </border>
    <border>
      <left/>
      <right style="thin">
        <color theme="0"/>
      </right>
      <top/>
      <bottom/>
      <diagonal/>
    </border>
    <border>
      <left style="thin">
        <color theme="0"/>
      </left>
      <right style="thin">
        <color theme="0"/>
      </right>
      <top/>
      <bottom/>
      <diagonal/>
    </border>
    <border>
      <left style="thin">
        <color theme="0"/>
      </left>
      <right style="medium">
        <color indexed="64"/>
      </right>
      <top/>
      <bottom/>
      <diagonal/>
    </border>
    <border>
      <left style="medium">
        <color indexed="64"/>
      </left>
      <right style="thin">
        <color theme="0"/>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bottom style="thin">
        <color indexed="64"/>
      </bottom>
      <diagonal/>
    </border>
    <border>
      <left/>
      <right style="thin">
        <color theme="0"/>
      </right>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0"/>
      </right>
      <top style="thin">
        <color theme="1"/>
      </top>
      <bottom style="thin">
        <color theme="1"/>
      </bottom>
      <diagonal/>
    </border>
    <border>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bottom style="thin">
        <color theme="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0"/>
      </left>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0"/>
      </left>
      <right/>
      <top/>
      <bottom/>
      <diagonal/>
    </border>
    <border>
      <left style="medium">
        <color theme="4" tint="-0.499984740745262"/>
      </left>
      <right/>
      <top/>
      <bottom style="medium">
        <color theme="0"/>
      </bottom>
      <diagonal/>
    </border>
    <border>
      <left/>
      <right/>
      <top/>
      <bottom style="medium">
        <color theme="0"/>
      </bottom>
      <diagonal/>
    </border>
    <border>
      <left style="medium">
        <color theme="0"/>
      </left>
      <right/>
      <top/>
      <bottom style="medium">
        <color theme="0"/>
      </bottom>
      <diagonal/>
    </border>
    <border>
      <left/>
      <right style="medium">
        <color theme="4" tint="-0.499984740745262"/>
      </right>
      <top/>
      <bottom style="medium">
        <color theme="0"/>
      </bottom>
      <diagonal/>
    </border>
    <border>
      <left style="medium">
        <color theme="4" tint="-0.499984740745262"/>
      </left>
      <right/>
      <top/>
      <bottom style="medium">
        <color theme="4" tint="-0.499984740745262"/>
      </bottom>
      <diagonal/>
    </border>
    <border>
      <left/>
      <right style="medium">
        <color theme="4" tint="-0.499984740745262"/>
      </right>
      <top/>
      <bottom style="medium">
        <color theme="4" tint="-0.499984740745262"/>
      </bottom>
      <diagonal/>
    </border>
  </borders>
  <cellStyleXfs count="3">
    <xf numFmtId="0" fontId="0" fillId="0" borderId="0"/>
    <xf numFmtId="9" fontId="2" fillId="0" borderId="0" applyFont="0" applyFill="0" applyBorder="0" applyAlignment="0" applyProtection="0"/>
    <xf numFmtId="0" fontId="25" fillId="0" borderId="0" applyNumberFormat="0" applyFill="0" applyBorder="0" applyAlignment="0" applyProtection="0"/>
  </cellStyleXfs>
  <cellXfs count="398">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 xfId="0" applyBorder="1"/>
    <xf numFmtId="0" fontId="0" fillId="0" borderId="1" xfId="0" applyBorder="1" applyAlignment="1">
      <alignment vertical="top"/>
    </xf>
    <xf numFmtId="0" fontId="0" fillId="0" borderId="1" xfId="0" applyBorder="1" applyAlignment="1">
      <alignment horizontal="center" vertical="center"/>
    </xf>
    <xf numFmtId="0" fontId="0" fillId="0" borderId="1" xfId="0" applyBorder="1" applyAlignment="1">
      <alignment horizontal="left" vertical="center"/>
    </xf>
    <xf numFmtId="0" fontId="1" fillId="0" borderId="12" xfId="0" applyFont="1" applyBorder="1" applyAlignment="1">
      <alignment horizontal="left" vertical="center"/>
    </xf>
    <xf numFmtId="0" fontId="1" fillId="0" borderId="12" xfId="0" applyFont="1" applyBorder="1" applyAlignment="1">
      <alignment horizontal="center" vertical="center"/>
    </xf>
    <xf numFmtId="0" fontId="0" fillId="0" borderId="12" xfId="0" applyBorder="1" applyAlignment="1">
      <alignment horizontal="left" vertical="center"/>
    </xf>
    <xf numFmtId="0" fontId="0" fillId="0" borderId="12" xfId="0" applyBorder="1"/>
    <xf numFmtId="0" fontId="0" fillId="0" borderId="3" xfId="0" applyBorder="1"/>
    <xf numFmtId="0" fontId="7" fillId="0" borderId="1" xfId="0" applyFont="1" applyBorder="1"/>
    <xf numFmtId="0" fontId="17" fillId="0" borderId="0" xfId="0" applyFont="1" applyAlignment="1">
      <alignment horizontal="center" vertical="center"/>
    </xf>
    <xf numFmtId="0" fontId="17" fillId="0" borderId="0" xfId="0" applyFont="1"/>
    <xf numFmtId="0" fontId="0" fillId="0" borderId="1" xfId="0" quotePrefix="1" applyBorder="1" applyAlignment="1">
      <alignment horizontal="left" indent="2"/>
    </xf>
    <xf numFmtId="0" fontId="13" fillId="0" borderId="0" xfId="0" applyFont="1"/>
    <xf numFmtId="0" fontId="6" fillId="0" borderId="0" xfId="0" applyFont="1"/>
    <xf numFmtId="0" fontId="7" fillId="0" borderId="0" xfId="0" applyFont="1" applyAlignment="1">
      <alignment wrapText="1"/>
    </xf>
    <xf numFmtId="0" fontId="0" fillId="0" borderId="0" xfId="0" applyAlignment="1">
      <alignment horizontal="right"/>
    </xf>
    <xf numFmtId="0" fontId="8" fillId="0" borderId="0" xfId="0" applyFont="1" applyAlignment="1">
      <alignment horizontal="right" indent="1"/>
    </xf>
    <xf numFmtId="0" fontId="17" fillId="0" borderId="34" xfId="0" applyFont="1" applyBorder="1" applyAlignment="1">
      <alignment horizontal="center" vertical="center"/>
    </xf>
    <xf numFmtId="0" fontId="17" fillId="0" borderId="34" xfId="0" applyFont="1" applyBorder="1" applyAlignment="1" applyProtection="1">
      <alignment vertical="center"/>
      <protection locked="0"/>
    </xf>
    <xf numFmtId="0" fontId="9" fillId="4" borderId="34" xfId="0" applyFont="1" applyFill="1" applyBorder="1" applyAlignment="1">
      <alignment horizontal="center" vertical="center" wrapText="1"/>
    </xf>
    <xf numFmtId="0" fontId="9" fillId="4" borderId="34" xfId="0" applyFont="1" applyFill="1" applyBorder="1" applyAlignment="1">
      <alignment horizontal="center" vertical="center"/>
    </xf>
    <xf numFmtId="0" fontId="23" fillId="0" borderId="0" xfId="0" applyFont="1"/>
    <xf numFmtId="0" fontId="17" fillId="0" borderId="34" xfId="0" applyFont="1" applyBorder="1" applyAlignment="1" applyProtection="1">
      <alignment horizontal="center" vertical="center"/>
      <protection locked="0"/>
    </xf>
    <xf numFmtId="0" fontId="17" fillId="0" borderId="55" xfId="0" applyFont="1" applyBorder="1" applyAlignment="1" applyProtection="1">
      <alignment horizontal="center" vertical="top" wrapText="1"/>
      <protection locked="0"/>
    </xf>
    <xf numFmtId="0" fontId="17" fillId="0" borderId="56" xfId="0" applyFont="1" applyBorder="1" applyAlignment="1" applyProtection="1">
      <alignment horizontal="center" vertical="top" wrapText="1"/>
      <protection locked="0"/>
    </xf>
    <xf numFmtId="0" fontId="15" fillId="0" borderId="53" xfId="0" applyFont="1" applyBorder="1" applyAlignment="1" applyProtection="1">
      <alignment horizontal="center" vertical="top" wrapText="1"/>
      <protection locked="0"/>
    </xf>
    <xf numFmtId="0" fontId="17" fillId="0" borderId="57" xfId="0" applyFont="1" applyBorder="1" applyAlignment="1" applyProtection="1">
      <alignment horizontal="center" vertical="top" wrapText="1"/>
      <protection locked="0"/>
    </xf>
    <xf numFmtId="0" fontId="15" fillId="0" borderId="58" xfId="0" applyFont="1" applyBorder="1" applyAlignment="1" applyProtection="1">
      <alignment horizontal="center" vertical="top" wrapText="1"/>
      <protection locked="0"/>
    </xf>
    <xf numFmtId="0" fontId="1" fillId="2" borderId="53" xfId="0" applyFont="1" applyFill="1" applyBorder="1" applyAlignment="1" applyProtection="1">
      <alignment horizontal="center" vertical="center" wrapText="1"/>
      <protection locked="0"/>
    </xf>
    <xf numFmtId="0" fontId="1" fillId="2" borderId="55" xfId="0" applyFont="1" applyFill="1" applyBorder="1" applyAlignment="1" applyProtection="1">
      <alignment horizontal="center" vertical="center" wrapText="1"/>
      <protection locked="0"/>
    </xf>
    <xf numFmtId="0" fontId="1" fillId="2" borderId="56" xfId="0" applyFont="1" applyFill="1" applyBorder="1" applyAlignment="1" applyProtection="1">
      <alignment horizontal="center" vertical="center" wrapText="1"/>
      <protection locked="0"/>
    </xf>
    <xf numFmtId="0" fontId="0" fillId="0" borderId="0" xfId="0" applyAlignment="1">
      <alignment horizontal="right" vertical="center"/>
    </xf>
    <xf numFmtId="0" fontId="26" fillId="0" borderId="0" xfId="0" applyFont="1"/>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43" fillId="0" borderId="0" xfId="0" applyFont="1"/>
    <xf numFmtId="0" fontId="0" fillId="0" borderId="12" xfId="0" applyBorder="1" applyAlignment="1">
      <alignment horizontal="center" vertical="center"/>
    </xf>
    <xf numFmtId="0" fontId="22" fillId="0" borderId="3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Protection="1">
      <protection locked="0"/>
    </xf>
    <xf numFmtId="0" fontId="0" fillId="0" borderId="34" xfId="0" applyBorder="1" applyAlignment="1" applyProtection="1">
      <alignment horizontal="center" vertical="center"/>
      <protection hidden="1"/>
    </xf>
    <xf numFmtId="0" fontId="1" fillId="0" borderId="0" xfId="0" applyFont="1" applyAlignment="1" applyProtection="1">
      <alignment horizontal="left"/>
      <protection hidden="1"/>
    </xf>
    <xf numFmtId="0" fontId="17" fillId="4" borderId="17" xfId="0" applyFont="1" applyFill="1" applyBorder="1" applyAlignment="1" applyProtection="1">
      <alignment horizontal="center" vertical="top" wrapText="1"/>
      <protection locked="0"/>
    </xf>
    <xf numFmtId="0" fontId="17" fillId="4" borderId="48" xfId="0" applyFont="1" applyFill="1" applyBorder="1" applyAlignment="1" applyProtection="1">
      <alignment horizontal="center" vertical="top" wrapText="1"/>
      <protection locked="0"/>
    </xf>
    <xf numFmtId="0" fontId="19" fillId="4" borderId="24" xfId="0" applyFont="1" applyFill="1" applyBorder="1" applyAlignment="1" applyProtection="1">
      <alignment horizontal="center" vertical="center" wrapText="1"/>
      <protection hidden="1"/>
    </xf>
    <xf numFmtId="0" fontId="0" fillId="4" borderId="24" xfId="0" applyFill="1" applyBorder="1" applyAlignment="1" applyProtection="1">
      <alignment horizontal="center" vertical="top" wrapText="1"/>
      <protection hidden="1"/>
    </xf>
    <xf numFmtId="0" fontId="0" fillId="4" borderId="24" xfId="0" applyFill="1" applyBorder="1" applyAlignment="1" applyProtection="1">
      <alignment horizontal="center" vertical="center" wrapText="1"/>
      <protection hidden="1"/>
    </xf>
    <xf numFmtId="0" fontId="0" fillId="4" borderId="36" xfId="0" applyFill="1" applyBorder="1" applyAlignment="1" applyProtection="1">
      <alignment horizontal="center" vertical="center" wrapText="1"/>
      <protection hidden="1"/>
    </xf>
    <xf numFmtId="0" fontId="17" fillId="4" borderId="24" xfId="0" applyFont="1" applyFill="1" applyBorder="1" applyAlignment="1" applyProtection="1">
      <alignment horizontal="center" vertical="top" wrapText="1"/>
      <protection hidden="1"/>
    </xf>
    <xf numFmtId="0" fontId="17" fillId="4" borderId="44" xfId="0" applyFont="1" applyFill="1" applyBorder="1" applyAlignment="1" applyProtection="1">
      <alignment horizontal="center" vertical="top" wrapText="1"/>
      <protection hidden="1"/>
    </xf>
    <xf numFmtId="0" fontId="0" fillId="4" borderId="21" xfId="0" applyFill="1" applyBorder="1" applyAlignment="1" applyProtection="1">
      <alignment horizontal="center" vertical="center" wrapText="1"/>
      <protection hidden="1"/>
    </xf>
    <xf numFmtId="0" fontId="0" fillId="4" borderId="21" xfId="0" applyFill="1" applyBorder="1" applyAlignment="1" applyProtection="1">
      <alignment horizontal="center" vertical="top" wrapText="1"/>
      <protection hidden="1"/>
    </xf>
    <xf numFmtId="0" fontId="0" fillId="4" borderId="37" xfId="0" applyFill="1" applyBorder="1" applyAlignment="1" applyProtection="1">
      <alignment horizontal="center" vertical="center" wrapText="1"/>
      <protection hidden="1"/>
    </xf>
    <xf numFmtId="0" fontId="28" fillId="4" borderId="17" xfId="0" applyFont="1" applyFill="1" applyBorder="1" applyAlignment="1" applyProtection="1">
      <alignment horizontal="center" vertical="center" wrapText="1"/>
      <protection hidden="1"/>
    </xf>
    <xf numFmtId="0" fontId="17" fillId="0" borderId="2" xfId="0" applyFont="1" applyBorder="1" applyAlignment="1" applyProtection="1">
      <alignment horizontal="center" vertical="top"/>
      <protection hidden="1"/>
    </xf>
    <xf numFmtId="0" fontId="18" fillId="3" borderId="22" xfId="0" applyFont="1" applyFill="1" applyBorder="1" applyAlignment="1" applyProtection="1">
      <alignment horizontal="center" vertical="center" wrapText="1"/>
      <protection hidden="1"/>
    </xf>
    <xf numFmtId="0" fontId="18" fillId="3" borderId="23" xfId="0" applyFont="1" applyFill="1" applyBorder="1" applyAlignment="1" applyProtection="1">
      <alignment horizontal="center" vertical="center" wrapText="1"/>
      <protection hidden="1"/>
    </xf>
    <xf numFmtId="0" fontId="17" fillId="0" borderId="25" xfId="0" applyFont="1" applyBorder="1" applyAlignment="1" applyProtection="1">
      <alignment horizontal="center" vertical="top"/>
      <protection hidden="1"/>
    </xf>
    <xf numFmtId="0" fontId="17" fillId="0" borderId="1" xfId="0" applyFont="1" applyBorder="1" applyAlignment="1" applyProtection="1">
      <alignment horizontal="center" vertical="top"/>
      <protection hidden="1"/>
    </xf>
    <xf numFmtId="0" fontId="17" fillId="0" borderId="12" xfId="0" applyFont="1" applyBorder="1" applyAlignment="1" applyProtection="1">
      <alignment horizontal="center" vertical="top"/>
      <protection hidden="1"/>
    </xf>
    <xf numFmtId="0" fontId="17" fillId="0" borderId="13" xfId="0" applyFont="1" applyBorder="1" applyAlignment="1" applyProtection="1">
      <alignment horizontal="center" vertical="top"/>
      <protection hidden="1"/>
    </xf>
    <xf numFmtId="0" fontId="17" fillId="0" borderId="7" xfId="0" applyFont="1" applyBorder="1" applyAlignment="1" applyProtection="1">
      <alignment horizontal="left" vertical="top" indent="1"/>
      <protection hidden="1"/>
    </xf>
    <xf numFmtId="0" fontId="27" fillId="0" borderId="51" xfId="0" applyFont="1" applyBorder="1" applyAlignment="1" applyProtection="1">
      <alignment horizontal="center" vertical="center"/>
      <protection hidden="1"/>
    </xf>
    <xf numFmtId="0" fontId="27" fillId="0" borderId="7" xfId="0" applyFont="1" applyBorder="1" applyAlignment="1" applyProtection="1">
      <alignment horizontal="left" vertical="top" indent="2"/>
      <protection hidden="1"/>
    </xf>
    <xf numFmtId="0" fontId="27" fillId="0" borderId="5" xfId="0" applyFont="1" applyBorder="1" applyAlignment="1" applyProtection="1">
      <alignment horizontal="left" vertical="top" indent="2"/>
      <protection hidden="1"/>
    </xf>
    <xf numFmtId="0" fontId="17" fillId="0" borderId="3" xfId="0" applyFont="1" applyBorder="1" applyAlignment="1" applyProtection="1">
      <alignment horizontal="center" vertical="top"/>
      <protection hidden="1"/>
    </xf>
    <xf numFmtId="0" fontId="17" fillId="0" borderId="19" xfId="0" applyFont="1" applyBorder="1" applyAlignment="1" applyProtection="1">
      <alignment horizontal="left" vertical="top" indent="1"/>
      <protection hidden="1"/>
    </xf>
    <xf numFmtId="0" fontId="17" fillId="0" borderId="38" xfId="0" applyFont="1" applyBorder="1" applyAlignment="1" applyProtection="1">
      <alignment horizontal="center" vertical="top"/>
      <protection hidden="1"/>
    </xf>
    <xf numFmtId="0" fontId="17" fillId="0" borderId="39" xfId="0" applyFont="1" applyBorder="1" applyAlignment="1" applyProtection="1">
      <alignment horizontal="center" vertical="top"/>
      <protection hidden="1"/>
    </xf>
    <xf numFmtId="0" fontId="17" fillId="0" borderId="43" xfId="0" applyFont="1" applyBorder="1" applyAlignment="1" applyProtection="1">
      <alignment horizontal="center" vertical="top"/>
      <protection hidden="1"/>
    </xf>
    <xf numFmtId="0" fontId="17" fillId="0" borderId="44" xfId="0" applyFont="1" applyBorder="1" applyAlignment="1" applyProtection="1">
      <alignment horizontal="center" vertical="top"/>
      <protection hidden="1"/>
    </xf>
    <xf numFmtId="0" fontId="17" fillId="0" borderId="45" xfId="0" applyFont="1" applyBorder="1" applyAlignment="1" applyProtection="1">
      <alignment horizontal="center" vertical="top"/>
      <protection hidden="1"/>
    </xf>
    <xf numFmtId="0" fontId="17" fillId="0" borderId="46" xfId="0" applyFont="1" applyBorder="1" applyAlignment="1" applyProtection="1">
      <alignment horizontal="center" vertical="top"/>
      <protection hidden="1"/>
    </xf>
    <xf numFmtId="0" fontId="0" fillId="0" borderId="6" xfId="0" applyBorder="1" applyAlignment="1" applyProtection="1">
      <alignment horizontal="left" vertical="center"/>
      <protection hidden="1"/>
    </xf>
    <xf numFmtId="0" fontId="0" fillId="0" borderId="6" xfId="0" applyBorder="1" applyAlignment="1" applyProtection="1">
      <alignment horizontal="center" vertical="center"/>
      <protection hidden="1"/>
    </xf>
    <xf numFmtId="0" fontId="27" fillId="0" borderId="8" xfId="0" applyFont="1" applyBorder="1" applyAlignment="1" applyProtection="1">
      <alignment horizontal="left" vertical="top" indent="2"/>
      <protection locked="0"/>
    </xf>
    <xf numFmtId="0" fontId="27" fillId="0" borderId="10" xfId="0" applyFont="1" applyBorder="1" applyAlignment="1" applyProtection="1">
      <alignment horizontal="left" vertical="top" indent="2"/>
      <protection locked="0"/>
    </xf>
    <xf numFmtId="0" fontId="0" fillId="0" borderId="6" xfId="0" applyBorder="1" applyProtection="1">
      <protection hidden="1"/>
    </xf>
    <xf numFmtId="0" fontId="0" fillId="0" borderId="0" xfId="0" applyProtection="1">
      <protection hidden="1"/>
    </xf>
    <xf numFmtId="0" fontId="0" fillId="0" borderId="0" xfId="0" applyAlignment="1" applyProtection="1">
      <alignment horizontal="center" vertical="center"/>
      <protection hidden="1"/>
    </xf>
    <xf numFmtId="0" fontId="0" fillId="0" borderId="0" xfId="0" applyAlignment="1" applyProtection="1">
      <alignment horizontal="left" vertical="center"/>
      <protection hidden="1"/>
    </xf>
    <xf numFmtId="0" fontId="14"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14"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Protection="1">
      <protection hidden="1"/>
    </xf>
    <xf numFmtId="0" fontId="0" fillId="0" borderId="12" xfId="0" applyBorder="1" applyProtection="1">
      <protection hidden="1"/>
    </xf>
    <xf numFmtId="0" fontId="0" fillId="0" borderId="12" xfId="0" applyBorder="1" applyAlignment="1" applyProtection="1">
      <alignment horizontal="left" vertical="center"/>
      <protection hidden="1"/>
    </xf>
    <xf numFmtId="0" fontId="1" fillId="0" borderId="12" xfId="0" applyFont="1" applyBorder="1" applyAlignment="1" applyProtection="1">
      <alignment horizontal="left" vertical="center"/>
      <protection hidden="1"/>
    </xf>
    <xf numFmtId="0" fontId="20" fillId="3" borderId="0" xfId="0" applyFont="1" applyFill="1" applyProtection="1">
      <protection hidden="1"/>
    </xf>
    <xf numFmtId="0" fontId="24" fillId="4" borderId="53" xfId="0" applyFont="1" applyFill="1" applyBorder="1" applyAlignment="1" applyProtection="1">
      <alignment horizontal="left" vertical="center" wrapText="1" indent="2"/>
      <protection hidden="1"/>
    </xf>
    <xf numFmtId="0" fontId="3" fillId="4" borderId="53" xfId="0" applyFont="1" applyFill="1" applyBorder="1" applyAlignment="1" applyProtection="1">
      <alignment horizontal="left" vertical="center" wrapText="1" indent="2"/>
      <protection hidden="1"/>
    </xf>
    <xf numFmtId="0" fontId="17" fillId="5" borderId="59" xfId="0" applyFont="1" applyFill="1" applyBorder="1" applyAlignment="1" applyProtection="1">
      <alignment horizontal="left" vertical="top" indent="1"/>
      <protection hidden="1"/>
    </xf>
    <xf numFmtId="0" fontId="17" fillId="5" borderId="59" xfId="0" applyFont="1" applyFill="1" applyBorder="1" applyAlignment="1" applyProtection="1">
      <alignment horizontal="center" vertical="center" wrapText="1"/>
      <protection hidden="1"/>
    </xf>
    <xf numFmtId="0" fontId="17" fillId="0" borderId="0" xfId="0" applyFont="1" applyProtection="1">
      <protection hidden="1"/>
    </xf>
    <xf numFmtId="0" fontId="17" fillId="5" borderId="60" xfId="0" applyFont="1" applyFill="1" applyBorder="1" applyAlignment="1" applyProtection="1">
      <alignment horizontal="left" vertical="top" indent="1"/>
      <protection hidden="1"/>
    </xf>
    <xf numFmtId="0" fontId="17" fillId="5" borderId="60" xfId="0" applyFont="1" applyFill="1" applyBorder="1" applyAlignment="1" applyProtection="1">
      <alignment horizontal="center" vertical="center" wrapText="1"/>
      <protection hidden="1"/>
    </xf>
    <xf numFmtId="0" fontId="17" fillId="5" borderId="61" xfId="0" applyFont="1" applyFill="1" applyBorder="1" applyAlignment="1" applyProtection="1">
      <alignment horizontal="left" vertical="top" indent="1"/>
      <protection hidden="1"/>
    </xf>
    <xf numFmtId="0" fontId="17" fillId="5" borderId="61" xfId="0" applyFont="1" applyFill="1" applyBorder="1" applyAlignment="1" applyProtection="1">
      <alignment horizontal="center" vertical="center" wrapText="1"/>
      <protection hidden="1"/>
    </xf>
    <xf numFmtId="0" fontId="17" fillId="0" borderId="55" xfId="0" applyFont="1" applyBorder="1" applyAlignment="1" applyProtection="1">
      <alignment horizontal="left" vertical="top" indent="1"/>
      <protection hidden="1"/>
    </xf>
    <xf numFmtId="0" fontId="17" fillId="0" borderId="0" xfId="0" applyFont="1" applyAlignment="1" applyProtection="1">
      <alignment horizontal="center" vertical="center"/>
      <protection hidden="1"/>
    </xf>
    <xf numFmtId="0" fontId="17" fillId="0" borderId="56" xfId="0" applyFont="1" applyBorder="1" applyAlignment="1" applyProtection="1">
      <alignment horizontal="left" vertical="top" indent="1"/>
      <protection hidden="1"/>
    </xf>
    <xf numFmtId="0" fontId="3" fillId="2" borderId="55" xfId="0" applyFont="1" applyFill="1" applyBorder="1" applyAlignment="1" applyProtection="1">
      <alignment horizontal="left" vertical="center" indent="2"/>
      <protection hidden="1"/>
    </xf>
    <xf numFmtId="0" fontId="3" fillId="2" borderId="56" xfId="0" applyFont="1" applyFill="1" applyBorder="1" applyAlignment="1" applyProtection="1">
      <alignment horizontal="left" vertical="center" indent="2"/>
      <protection hidden="1"/>
    </xf>
    <xf numFmtId="0" fontId="16" fillId="5" borderId="59" xfId="0" applyFont="1" applyFill="1" applyBorder="1" applyAlignment="1" applyProtection="1">
      <alignment horizontal="left" vertical="center" indent="1"/>
      <protection hidden="1"/>
    </xf>
    <xf numFmtId="0" fontId="15" fillId="5" borderId="59" xfId="0" applyFont="1" applyFill="1" applyBorder="1" applyAlignment="1" applyProtection="1">
      <alignment horizontal="right" vertical="center" indent="1"/>
      <protection hidden="1"/>
    </xf>
    <xf numFmtId="0" fontId="16" fillId="5" borderId="60" xfId="0" applyFont="1" applyFill="1" applyBorder="1" applyAlignment="1" applyProtection="1">
      <alignment horizontal="right" vertical="top" indent="1"/>
      <protection hidden="1"/>
    </xf>
    <xf numFmtId="0" fontId="15" fillId="5" borderId="60" xfId="0" applyFont="1" applyFill="1" applyBorder="1" applyAlignment="1" applyProtection="1">
      <alignment horizontal="center" vertical="top" wrapText="1"/>
      <protection hidden="1"/>
    </xf>
    <xf numFmtId="0" fontId="16" fillId="5" borderId="61" xfId="0" applyFont="1" applyFill="1" applyBorder="1" applyAlignment="1" applyProtection="1">
      <alignment horizontal="right" vertical="top" indent="1"/>
      <protection hidden="1"/>
    </xf>
    <xf numFmtId="0" fontId="15" fillId="5" borderId="61" xfId="0" applyFont="1" applyFill="1" applyBorder="1" applyAlignment="1" applyProtection="1">
      <alignment horizontal="center" vertical="top" wrapText="1"/>
      <protection hidden="1"/>
    </xf>
    <xf numFmtId="0" fontId="15" fillId="0" borderId="55" xfId="0" applyFont="1" applyBorder="1" applyAlignment="1" applyProtection="1">
      <alignment horizontal="right" vertical="top" indent="1"/>
      <protection hidden="1"/>
    </xf>
    <xf numFmtId="0" fontId="17" fillId="0" borderId="57" xfId="0" applyFont="1" applyBorder="1" applyAlignment="1" applyProtection="1">
      <alignment horizontal="left" vertical="top" indent="1"/>
      <protection hidden="1"/>
    </xf>
    <xf numFmtId="0" fontId="17" fillId="0" borderId="56" xfId="0" applyFont="1" applyBorder="1" applyAlignment="1" applyProtection="1">
      <alignment horizontal="left" vertical="top" wrapText="1" indent="1"/>
      <protection hidden="1"/>
    </xf>
    <xf numFmtId="0" fontId="3" fillId="2" borderId="54" xfId="0" applyFont="1" applyFill="1" applyBorder="1" applyAlignment="1" applyProtection="1">
      <alignment horizontal="left" vertical="center" indent="2"/>
      <protection hidden="1"/>
    </xf>
    <xf numFmtId="0" fontId="16" fillId="5" borderId="62" xfId="0" applyFont="1" applyFill="1" applyBorder="1" applyAlignment="1" applyProtection="1">
      <alignment horizontal="left" vertical="center" indent="1"/>
      <protection hidden="1"/>
    </xf>
    <xf numFmtId="0" fontId="15" fillId="5" borderId="62" xfId="0" applyFont="1" applyFill="1" applyBorder="1" applyAlignment="1" applyProtection="1">
      <alignment horizontal="right" vertical="center" indent="1"/>
      <protection hidden="1"/>
    </xf>
    <xf numFmtId="164" fontId="15" fillId="5" borderId="60" xfId="0" applyNumberFormat="1" applyFont="1" applyFill="1" applyBorder="1" applyAlignment="1" applyProtection="1">
      <alignment horizontal="center" vertical="top" wrapText="1"/>
      <protection hidden="1"/>
    </xf>
    <xf numFmtId="0" fontId="15" fillId="0" borderId="58" xfId="0" applyFont="1" applyBorder="1" applyAlignment="1" applyProtection="1">
      <alignment horizontal="right" vertical="top" indent="1"/>
      <protection hidden="1"/>
    </xf>
    <xf numFmtId="0" fontId="29" fillId="0" borderId="1" xfId="0" applyFont="1" applyBorder="1" applyProtection="1">
      <protection hidden="1"/>
    </xf>
    <xf numFmtId="0" fontId="29" fillId="0" borderId="14" xfId="0" applyFont="1" applyBorder="1" applyProtection="1">
      <protection hidden="1"/>
    </xf>
    <xf numFmtId="0" fontId="31" fillId="0" borderId="12" xfId="0" applyFont="1" applyBorder="1" applyProtection="1">
      <protection hidden="1"/>
    </xf>
    <xf numFmtId="0" fontId="29" fillId="0" borderId="12" xfId="0" applyFont="1" applyBorder="1" applyProtection="1">
      <protection hidden="1"/>
    </xf>
    <xf numFmtId="0" fontId="31" fillId="0" borderId="1" xfId="0" applyFont="1" applyBorder="1" applyProtection="1">
      <protection hidden="1"/>
    </xf>
    <xf numFmtId="0" fontId="31" fillId="0" borderId="0" xfId="0" applyFont="1" applyProtection="1">
      <protection hidden="1"/>
    </xf>
    <xf numFmtId="0" fontId="33" fillId="0" borderId="1" xfId="0" applyFont="1" applyBorder="1" applyAlignment="1" applyProtection="1">
      <alignment horizontal="center" vertical="center" wrapText="1"/>
      <protection hidden="1"/>
    </xf>
    <xf numFmtId="0" fontId="31" fillId="0" borderId="0" xfId="0" applyFont="1" applyAlignment="1" applyProtection="1">
      <alignment horizontal="center" vertical="center"/>
      <protection hidden="1"/>
    </xf>
    <xf numFmtId="0" fontId="31" fillId="0" borderId="1" xfId="0" applyFont="1" applyBorder="1" applyAlignment="1" applyProtection="1">
      <alignment horizontal="center" vertical="center"/>
      <protection hidden="1"/>
    </xf>
    <xf numFmtId="0" fontId="29" fillId="0" borderId="0" xfId="0" applyFont="1" applyProtection="1">
      <protection hidden="1"/>
    </xf>
    <xf numFmtId="0" fontId="30" fillId="6" borderId="64" xfId="0" applyFont="1" applyFill="1" applyBorder="1" applyAlignment="1" applyProtection="1">
      <alignment horizontal="center" vertical="center" wrapText="1"/>
      <protection hidden="1"/>
    </xf>
    <xf numFmtId="0" fontId="30" fillId="6" borderId="64" xfId="0" applyFont="1" applyFill="1" applyBorder="1" applyAlignment="1" applyProtection="1">
      <alignment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164" fontId="30" fillId="6" borderId="66" xfId="0" applyNumberFormat="1" applyFont="1" applyFill="1" applyBorder="1" applyAlignment="1" applyProtection="1">
      <alignment horizontal="center" vertical="center" wrapText="1"/>
      <protection hidden="1"/>
    </xf>
    <xf numFmtId="0" fontId="32" fillId="0" borderId="67" xfId="0" applyFont="1" applyBorder="1" applyAlignment="1" applyProtection="1">
      <alignment horizontal="center" vertical="center" wrapText="1"/>
      <protection hidden="1"/>
    </xf>
    <xf numFmtId="0" fontId="32" fillId="0" borderId="68" xfId="0" applyFont="1" applyBorder="1" applyAlignment="1" applyProtection="1">
      <alignment horizontal="center" vertical="center" wrapText="1"/>
      <protection hidden="1"/>
    </xf>
    <xf numFmtId="0" fontId="29" fillId="0" borderId="1" xfId="0" applyFont="1" applyBorder="1" applyAlignment="1" applyProtection="1">
      <alignment horizontal="center" vertical="center"/>
      <protection hidden="1"/>
    </xf>
    <xf numFmtId="0" fontId="29" fillId="0" borderId="0" xfId="0" applyFont="1" applyAlignment="1" applyProtection="1">
      <alignment horizontal="center" vertical="center"/>
      <protection hidden="1"/>
    </xf>
    <xf numFmtId="164" fontId="30" fillId="6" borderId="69" xfId="0" applyNumberFormat="1" applyFont="1" applyFill="1" applyBorder="1" applyAlignment="1" applyProtection="1">
      <alignment horizontal="center" vertical="center" wrapText="1"/>
      <protection hidden="1"/>
    </xf>
    <xf numFmtId="0" fontId="32" fillId="0" borderId="70" xfId="0" applyFont="1" applyBorder="1" applyAlignment="1" applyProtection="1">
      <alignment horizontal="center" vertical="center" wrapText="1"/>
      <protection hidden="1"/>
    </xf>
    <xf numFmtId="0" fontId="32" fillId="0" borderId="71" xfId="0" applyFont="1" applyBorder="1" applyAlignment="1" applyProtection="1">
      <alignment horizontal="center" vertical="center" wrapText="1"/>
      <protection hidden="1"/>
    </xf>
    <xf numFmtId="0" fontId="29" fillId="0" borderId="104" xfId="0" applyFont="1" applyBorder="1" applyProtection="1">
      <protection hidden="1"/>
    </xf>
    <xf numFmtId="0" fontId="29" fillId="0" borderId="3" xfId="0" applyFont="1" applyBorder="1" applyProtection="1">
      <protection hidden="1"/>
    </xf>
    <xf numFmtId="0" fontId="37" fillId="6" borderId="34" xfId="0" applyFont="1" applyFill="1" applyBorder="1" applyAlignment="1" applyProtection="1">
      <alignment horizontal="center" textRotation="90" wrapText="1"/>
      <protection hidden="1"/>
    </xf>
    <xf numFmtId="0" fontId="37" fillId="6" borderId="95" xfId="0" applyFont="1" applyFill="1" applyBorder="1" applyAlignment="1" applyProtection="1">
      <alignment horizontal="center" textRotation="90" wrapText="1"/>
      <protection hidden="1"/>
    </xf>
    <xf numFmtId="0" fontId="37" fillId="6" borderId="97" xfId="0" applyFont="1" applyFill="1" applyBorder="1" applyAlignment="1" applyProtection="1">
      <alignment horizontal="center" textRotation="90" wrapText="1"/>
      <protection hidden="1"/>
    </xf>
    <xf numFmtId="0" fontId="38" fillId="6" borderId="96" xfId="0" applyFont="1" applyFill="1" applyBorder="1" applyAlignment="1" applyProtection="1">
      <alignment horizontal="center" textRotation="90" wrapText="1"/>
      <protection hidden="1"/>
    </xf>
    <xf numFmtId="0" fontId="38" fillId="6" borderId="97" xfId="0" applyFont="1" applyFill="1" applyBorder="1" applyAlignment="1" applyProtection="1">
      <alignment horizontal="center" textRotation="90" wrapText="1"/>
      <protection hidden="1"/>
    </xf>
    <xf numFmtId="0" fontId="39" fillId="0" borderId="91" xfId="0" applyFont="1" applyBorder="1" applyAlignment="1" applyProtection="1">
      <alignment horizontal="center" vertical="center"/>
      <protection hidden="1"/>
    </xf>
    <xf numFmtId="0" fontId="39" fillId="0" borderId="92" xfId="0" applyFont="1" applyBorder="1" applyAlignment="1" applyProtection="1">
      <alignment horizontal="center" vertical="center"/>
      <protection hidden="1"/>
    </xf>
    <xf numFmtId="0" fontId="39" fillId="0" borderId="93" xfId="0" applyFont="1" applyBorder="1" applyAlignment="1" applyProtection="1">
      <alignment horizontal="center" vertical="center"/>
      <protection hidden="1"/>
    </xf>
    <xf numFmtId="0" fontId="39" fillId="0" borderId="94" xfId="0" applyFont="1" applyBorder="1" applyAlignment="1" applyProtection="1">
      <alignment horizontal="center" vertical="center"/>
      <protection hidden="1"/>
    </xf>
    <xf numFmtId="0" fontId="39" fillId="0" borderId="98" xfId="0" applyFont="1" applyBorder="1" applyAlignment="1" applyProtection="1">
      <alignment horizontal="center" vertical="center"/>
      <protection hidden="1"/>
    </xf>
    <xf numFmtId="0" fontId="39" fillId="0" borderId="89" xfId="0" applyFont="1" applyBorder="1" applyAlignment="1" applyProtection="1">
      <alignment horizontal="center" vertical="center"/>
      <protection hidden="1"/>
    </xf>
    <xf numFmtId="9" fontId="34" fillId="0" borderId="1" xfId="1" applyFont="1" applyBorder="1" applyProtection="1">
      <protection hidden="1"/>
    </xf>
    <xf numFmtId="0" fontId="40" fillId="0" borderId="91" xfId="0" applyFont="1" applyBorder="1" applyAlignment="1" applyProtection="1">
      <alignment horizontal="center" vertical="center"/>
      <protection hidden="1"/>
    </xf>
    <xf numFmtId="0" fontId="40" fillId="0" borderId="92" xfId="0" applyFont="1" applyBorder="1" applyAlignment="1" applyProtection="1">
      <alignment horizontal="center" vertical="center"/>
      <protection hidden="1"/>
    </xf>
    <xf numFmtId="0" fontId="40" fillId="0" borderId="93" xfId="0" applyFont="1" applyBorder="1" applyAlignment="1" applyProtection="1">
      <alignment horizontal="center" vertical="center"/>
      <protection hidden="1"/>
    </xf>
    <xf numFmtId="0" fontId="40" fillId="0" borderId="94" xfId="0" applyFont="1" applyBorder="1" applyAlignment="1" applyProtection="1">
      <alignment horizontal="center" vertical="center"/>
      <protection hidden="1"/>
    </xf>
    <xf numFmtId="0" fontId="40" fillId="0" borderId="98" xfId="0" applyFont="1" applyBorder="1" applyAlignment="1" applyProtection="1">
      <alignment horizontal="center" vertical="center"/>
      <protection hidden="1"/>
    </xf>
    <xf numFmtId="0" fontId="40" fillId="0" borderId="89" xfId="0" applyFont="1" applyBorder="1" applyAlignment="1" applyProtection="1">
      <alignment horizontal="center" vertical="center"/>
      <protection hidden="1"/>
    </xf>
    <xf numFmtId="0" fontId="34" fillId="0" borderId="1" xfId="0" applyFont="1" applyBorder="1" applyProtection="1">
      <protection hidden="1"/>
    </xf>
    <xf numFmtId="0" fontId="41" fillId="0" borderId="1" xfId="0" applyFont="1" applyBorder="1" applyProtection="1">
      <protection hidden="1"/>
    </xf>
    <xf numFmtId="0" fontId="17" fillId="0" borderId="18" xfId="0" applyFont="1" applyBorder="1" applyAlignment="1" applyProtection="1">
      <alignment horizontal="left" vertical="top" indent="1"/>
      <protection hidden="1"/>
    </xf>
    <xf numFmtId="0" fontId="14" fillId="2" borderId="23"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top" wrapText="1"/>
      <protection hidden="1"/>
    </xf>
    <xf numFmtId="0" fontId="31" fillId="0" borderId="106" xfId="0" applyFont="1" applyBorder="1" applyAlignment="1" applyProtection="1">
      <alignment horizontal="center" vertical="center"/>
      <protection hidden="1"/>
    </xf>
    <xf numFmtId="0" fontId="31" fillId="0" borderId="107" xfId="0" applyFont="1" applyBorder="1" applyAlignment="1" applyProtection="1">
      <alignment horizontal="center" vertical="center"/>
      <protection hidden="1"/>
    </xf>
    <xf numFmtId="0" fontId="31" fillId="0" borderId="108" xfId="0" applyFont="1" applyBorder="1" applyAlignment="1" applyProtection="1">
      <alignment horizontal="center" vertical="center"/>
      <protection hidden="1"/>
    </xf>
    <xf numFmtId="0" fontId="31" fillId="0" borderId="105" xfId="0" applyFont="1" applyBorder="1" applyAlignment="1" applyProtection="1">
      <alignment horizontal="center" vertical="center"/>
      <protection hidden="1"/>
    </xf>
    <xf numFmtId="0" fontId="43" fillId="0" borderId="0" xfId="0" applyFont="1" applyAlignment="1" applyProtection="1">
      <alignment horizontal="center" vertical="center"/>
      <protection hidden="1"/>
    </xf>
    <xf numFmtId="0" fontId="17" fillId="4" borderId="82" xfId="0" applyFont="1" applyFill="1" applyBorder="1" applyAlignment="1" applyProtection="1">
      <alignment horizontal="center" vertical="top" wrapText="1"/>
      <protection locked="0"/>
    </xf>
    <xf numFmtId="0" fontId="17" fillId="4" borderId="85" xfId="0" applyFont="1" applyFill="1" applyBorder="1" applyAlignment="1" applyProtection="1">
      <alignment horizontal="center" vertical="top" wrapText="1"/>
      <protection locked="0"/>
    </xf>
    <xf numFmtId="0" fontId="17" fillId="4" borderId="88" xfId="0" applyFont="1" applyFill="1" applyBorder="1" applyAlignment="1" applyProtection="1">
      <alignment horizontal="center" vertical="top" wrapText="1"/>
      <protection locked="0"/>
    </xf>
    <xf numFmtId="0" fontId="0" fillId="0" borderId="0" xfId="0" applyAlignment="1">
      <alignment vertical="center"/>
    </xf>
    <xf numFmtId="0" fontId="3" fillId="7" borderId="0" xfId="0" applyFont="1" applyFill="1"/>
    <xf numFmtId="0" fontId="0" fillId="0" borderId="116" xfId="0" applyBorder="1" applyAlignment="1">
      <alignment horizontal="left" vertical="center"/>
    </xf>
    <xf numFmtId="0" fontId="1" fillId="4" borderId="117" xfId="0" applyFont="1" applyFill="1" applyBorder="1" applyAlignment="1">
      <alignment horizontal="left" vertical="top" wrapText="1"/>
    </xf>
    <xf numFmtId="0" fontId="45" fillId="0" borderId="0" xfId="0" applyFont="1" applyAlignment="1">
      <alignment vertical="center"/>
    </xf>
    <xf numFmtId="0" fontId="0" fillId="0" borderId="116" xfId="0" applyBorder="1" applyAlignment="1" applyProtection="1">
      <alignment horizontal="left" vertical="center"/>
      <protection locked="0"/>
    </xf>
    <xf numFmtId="0" fontId="0" fillId="0" borderId="0" xfId="0" applyAlignment="1" applyProtection="1">
      <alignment horizontal="left" vertical="center"/>
      <protection locked="0"/>
    </xf>
    <xf numFmtId="0" fontId="17" fillId="4" borderId="17" xfId="0" quotePrefix="1" applyFont="1" applyFill="1" applyBorder="1" applyAlignment="1" applyProtection="1">
      <alignment horizontal="center" vertical="top" wrapText="1"/>
      <protection locked="0"/>
    </xf>
    <xf numFmtId="0" fontId="17" fillId="0" borderId="34"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hidden="1"/>
    </xf>
    <xf numFmtId="0" fontId="17" fillId="5" borderId="60" xfId="0" applyFont="1" applyFill="1" applyBorder="1" applyAlignment="1" applyProtection="1">
      <alignment horizontal="left" vertical="center"/>
      <protection hidden="1"/>
    </xf>
    <xf numFmtId="0" fontId="36" fillId="0" borderId="90" xfId="0" applyFont="1" applyBorder="1" applyAlignment="1" applyProtection="1">
      <alignment horizontal="left" vertical="center"/>
      <protection hidden="1"/>
    </xf>
    <xf numFmtId="0" fontId="34" fillId="0" borderId="90" xfId="0" applyFont="1" applyBorder="1" applyAlignment="1" applyProtection="1">
      <alignment horizontal="left" vertical="center"/>
      <protection hidden="1"/>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4" borderId="24" xfId="0" applyFont="1" applyFill="1" applyBorder="1" applyAlignment="1" applyProtection="1">
      <alignment horizontal="center" vertical="top" wrapText="1"/>
      <protection locked="0"/>
    </xf>
    <xf numFmtId="0" fontId="7" fillId="0" borderId="12" xfId="0" applyFont="1" applyBorder="1"/>
    <xf numFmtId="0" fontId="7" fillId="0" borderId="14" xfId="0" applyFont="1" applyBorder="1"/>
    <xf numFmtId="0" fontId="0" fillId="0" borderId="15" xfId="0" applyBorder="1"/>
    <xf numFmtId="0" fontId="13" fillId="0" borderId="14" xfId="0" applyFont="1" applyBorder="1"/>
    <xf numFmtId="0" fontId="0" fillId="0" borderId="14" xfId="0" applyBorder="1"/>
    <xf numFmtId="0" fontId="0" fillId="0" borderId="14" xfId="0" quotePrefix="1" applyBorder="1" applyAlignment="1">
      <alignment horizontal="left" indent="2"/>
    </xf>
    <xf numFmtId="0" fontId="7" fillId="0" borderId="3" xfId="0" applyFont="1" applyBorder="1"/>
    <xf numFmtId="0" fontId="1" fillId="0" borderId="14" xfId="0" applyFont="1" applyBorder="1"/>
    <xf numFmtId="0" fontId="1" fillId="0" borderId="15" xfId="0" applyFont="1" applyBorder="1"/>
    <xf numFmtId="0" fontId="25" fillId="0" borderId="15" xfId="2" applyBorder="1"/>
    <xf numFmtId="0" fontId="0" fillId="0" borderId="92" xfId="0" applyBorder="1"/>
    <xf numFmtId="0" fontId="7" fillId="0" borderId="92" xfId="0" applyFont="1" applyBorder="1"/>
    <xf numFmtId="0" fontId="12" fillId="0" borderId="14" xfId="0" applyFont="1" applyBorder="1"/>
    <xf numFmtId="0" fontId="17" fillId="3" borderId="13" xfId="0" applyFont="1" applyFill="1" applyBorder="1" applyAlignment="1" applyProtection="1">
      <alignment horizontal="center" vertical="top"/>
      <protection hidden="1"/>
    </xf>
    <xf numFmtId="0" fontId="31" fillId="0" borderId="106" xfId="0" applyFont="1" applyBorder="1" applyAlignment="1" applyProtection="1">
      <alignment horizontal="left" vertical="center" indent="1"/>
      <protection hidden="1"/>
    </xf>
    <xf numFmtId="0" fontId="31" fillId="0" borderId="105" xfId="0" applyFont="1" applyBorder="1" applyAlignment="1" applyProtection="1">
      <alignment horizontal="left" vertical="center" indent="1"/>
      <protection hidden="1"/>
    </xf>
    <xf numFmtId="0" fontId="17" fillId="0" borderId="17" xfId="0" applyFont="1" applyBorder="1" applyAlignment="1" applyProtection="1">
      <alignment horizontal="center" vertical="top" wrapText="1"/>
      <protection locked="0"/>
    </xf>
    <xf numFmtId="9" fontId="31" fillId="0" borderId="1" xfId="0" applyNumberFormat="1" applyFont="1" applyBorder="1" applyProtection="1">
      <protection hidden="1"/>
    </xf>
    <xf numFmtId="0" fontId="0" fillId="6" borderId="122" xfId="0" applyFill="1" applyBorder="1" applyAlignment="1">
      <alignment horizontal="left" wrapText="1"/>
    </xf>
    <xf numFmtId="0" fontId="0" fillId="6" borderId="0" xfId="0" applyFill="1" applyAlignment="1">
      <alignment horizontal="left" wrapText="1"/>
    </xf>
    <xf numFmtId="0" fontId="0" fillId="6" borderId="123" xfId="0" applyFill="1" applyBorder="1" applyAlignment="1">
      <alignment horizontal="left" wrapText="1"/>
    </xf>
    <xf numFmtId="0" fontId="7" fillId="6" borderId="122" xfId="0" applyFont="1" applyFill="1" applyBorder="1" applyAlignment="1">
      <alignment horizontal="center"/>
    </xf>
    <xf numFmtId="0" fontId="7" fillId="6" borderId="0" xfId="0" applyFont="1" applyFill="1" applyAlignment="1">
      <alignment horizontal="center"/>
    </xf>
    <xf numFmtId="0" fontId="7" fillId="6" borderId="123" xfId="0" applyFont="1" applyFill="1" applyBorder="1" applyAlignment="1">
      <alignment horizontal="center"/>
    </xf>
    <xf numFmtId="0" fontId="0" fillId="6" borderId="129" xfId="0" applyFill="1" applyBorder="1" applyAlignment="1">
      <alignment horizontal="center"/>
    </xf>
    <xf numFmtId="0" fontId="0" fillId="6" borderId="46" xfId="0" applyFill="1" applyBorder="1" applyAlignment="1">
      <alignment horizontal="center"/>
    </xf>
    <xf numFmtId="0" fontId="0" fillId="6" borderId="130" xfId="0" applyFill="1" applyBorder="1" applyAlignment="1">
      <alignment horizontal="center"/>
    </xf>
    <xf numFmtId="0" fontId="47" fillId="6" borderId="118" xfId="0" applyFont="1" applyFill="1" applyBorder="1" applyAlignment="1">
      <alignment horizontal="left" vertical="center"/>
    </xf>
    <xf numFmtId="0" fontId="47" fillId="6" borderId="119" xfId="0" applyFont="1" applyFill="1" applyBorder="1" applyAlignment="1">
      <alignment horizontal="left" vertical="center"/>
    </xf>
    <xf numFmtId="0" fontId="47" fillId="6" borderId="120" xfId="0" applyFont="1" applyFill="1" applyBorder="1" applyAlignment="1">
      <alignment horizontal="left" vertical="center"/>
    </xf>
    <xf numFmtId="0" fontId="0" fillId="6" borderId="0" xfId="0" applyFill="1" applyAlignment="1">
      <alignment horizontal="left"/>
    </xf>
    <xf numFmtId="0" fontId="0" fillId="6" borderId="123" xfId="0" applyFill="1" applyBorder="1" applyAlignment="1">
      <alignment horizontal="left"/>
    </xf>
    <xf numFmtId="0" fontId="0" fillId="6" borderId="122" xfId="0" applyFill="1" applyBorder="1" applyAlignment="1">
      <alignment horizontal="left"/>
    </xf>
    <xf numFmtId="0" fontId="0" fillId="6" borderId="122" xfId="0" applyFill="1" applyBorder="1" applyAlignment="1">
      <alignment horizontal="center"/>
    </xf>
    <xf numFmtId="0" fontId="0" fillId="6" borderId="0" xfId="0" applyFill="1" applyAlignment="1">
      <alignment horizontal="center"/>
    </xf>
    <xf numFmtId="0" fontId="0" fillId="6" borderId="123" xfId="0" applyFill="1" applyBorder="1" applyAlignment="1">
      <alignment horizontal="center"/>
    </xf>
    <xf numFmtId="0" fontId="0" fillId="6" borderId="122" xfId="0" applyFill="1" applyBorder="1" applyAlignment="1">
      <alignment horizontal="left" vertical="top" wrapText="1"/>
    </xf>
    <xf numFmtId="0" fontId="0" fillId="6" borderId="0" xfId="0" applyFill="1" applyAlignment="1">
      <alignment horizontal="left" vertical="top" wrapText="1"/>
    </xf>
    <xf numFmtId="0" fontId="0" fillId="6" borderId="123" xfId="0" applyFill="1" applyBorder="1" applyAlignment="1">
      <alignment horizontal="left" vertical="top" wrapText="1"/>
    </xf>
    <xf numFmtId="0" fontId="0" fillId="6" borderId="122" xfId="0" applyFill="1" applyBorder="1" applyAlignment="1">
      <alignment horizontal="center" vertical="top"/>
    </xf>
    <xf numFmtId="0" fontId="0" fillId="6" borderId="0" xfId="0" applyFill="1" applyAlignment="1">
      <alignment horizontal="center" vertical="top"/>
    </xf>
    <xf numFmtId="0" fontId="0" fillId="6" borderId="123" xfId="0" applyFill="1" applyBorder="1" applyAlignment="1">
      <alignment horizontal="center" vertical="top"/>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16"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47" fillId="4" borderId="118" xfId="0" applyFont="1" applyFill="1" applyBorder="1" applyAlignment="1">
      <alignment horizontal="left" vertical="center"/>
    </xf>
    <xf numFmtId="0" fontId="47" fillId="4" borderId="119" xfId="0" applyFont="1" applyFill="1" applyBorder="1" applyAlignment="1">
      <alignment horizontal="left" vertical="center"/>
    </xf>
    <xf numFmtId="0" fontId="47" fillId="4" borderId="120" xfId="0" applyFont="1" applyFill="1" applyBorder="1" applyAlignment="1">
      <alignment horizontal="left" vertical="center"/>
    </xf>
    <xf numFmtId="0" fontId="0" fillId="0" borderId="118" xfId="0" applyBorder="1" applyAlignment="1">
      <alignment horizontal="center" wrapText="1"/>
    </xf>
    <xf numFmtId="0" fontId="0" fillId="0" borderId="119" xfId="0" applyBorder="1" applyAlignment="1">
      <alignment horizontal="center" wrapText="1"/>
    </xf>
    <xf numFmtId="0" fontId="0" fillId="0" borderId="122" xfId="0" applyBorder="1" applyAlignment="1">
      <alignment horizontal="center" wrapText="1"/>
    </xf>
    <xf numFmtId="0" fontId="0" fillId="0" borderId="0" xfId="0" applyAlignment="1">
      <alignment horizontal="center" wrapText="1"/>
    </xf>
    <xf numFmtId="0" fontId="0" fillId="0" borderId="125" xfId="0" applyBorder="1" applyAlignment="1">
      <alignment horizontal="center" wrapText="1"/>
    </xf>
    <xf numFmtId="0" fontId="0" fillId="0" borderId="126" xfId="0" applyBorder="1" applyAlignment="1">
      <alignment horizontal="center" wrapText="1"/>
    </xf>
    <xf numFmtId="0" fontId="0" fillId="0" borderId="121" xfId="0" applyBorder="1" applyAlignment="1">
      <alignment horizontal="center"/>
    </xf>
    <xf numFmtId="0" fontId="0" fillId="0" borderId="120" xfId="0" applyBorder="1" applyAlignment="1">
      <alignment horizontal="center"/>
    </xf>
    <xf numFmtId="0" fontId="0" fillId="0" borderId="124" xfId="0" applyBorder="1" applyAlignment="1">
      <alignment horizontal="center"/>
    </xf>
    <xf numFmtId="0" fontId="0" fillId="0" borderId="123" xfId="0" applyBorder="1" applyAlignment="1">
      <alignment horizontal="center"/>
    </xf>
    <xf numFmtId="0" fontId="0" fillId="0" borderId="127" xfId="0" applyBorder="1" applyAlignment="1">
      <alignment horizontal="center"/>
    </xf>
    <xf numFmtId="0" fontId="0" fillId="0" borderId="128" xfId="0" applyBorder="1" applyAlignment="1">
      <alignment horizontal="center"/>
    </xf>
    <xf numFmtId="0" fontId="0" fillId="4" borderId="122" xfId="0" applyFill="1" applyBorder="1" applyAlignment="1">
      <alignment horizontal="left" vertical="center" wrapText="1"/>
    </xf>
    <xf numFmtId="0" fontId="0" fillId="4" borderId="0" xfId="0" applyFill="1" applyAlignment="1">
      <alignment horizontal="left" vertical="center" wrapText="1"/>
    </xf>
    <xf numFmtId="0" fontId="0" fillId="4" borderId="123" xfId="0" applyFill="1" applyBorder="1" applyAlignment="1">
      <alignment horizontal="left" vertical="center" wrapText="1"/>
    </xf>
    <xf numFmtId="0" fontId="0" fillId="4" borderId="129" xfId="0" applyFill="1" applyBorder="1" applyAlignment="1">
      <alignment horizontal="left" vertical="center" wrapText="1"/>
    </xf>
    <xf numFmtId="0" fontId="0" fillId="4" borderId="46" xfId="0" applyFill="1" applyBorder="1" applyAlignment="1">
      <alignment horizontal="left" vertical="center" wrapText="1"/>
    </xf>
    <xf numFmtId="0" fontId="0" fillId="4" borderId="130" xfId="0" applyFill="1" applyBorder="1" applyAlignment="1">
      <alignment horizontal="left" vertical="center" wrapText="1"/>
    </xf>
    <xf numFmtId="0" fontId="0" fillId="0" borderId="122" xfId="0" applyBorder="1" applyAlignment="1">
      <alignment horizontal="right" wrapText="1" indent="1"/>
    </xf>
    <xf numFmtId="0" fontId="0" fillId="0" borderId="0" xfId="0" applyAlignment="1">
      <alignment horizontal="right" wrapText="1" indent="1"/>
    </xf>
    <xf numFmtId="0" fontId="0" fillId="0" borderId="123" xfId="0" applyBorder="1" applyAlignment="1">
      <alignment horizontal="right" wrapText="1" indent="1"/>
    </xf>
    <xf numFmtId="0" fontId="0" fillId="0" borderId="129" xfId="0" applyBorder="1" applyAlignment="1">
      <alignment horizontal="right" wrapText="1" indent="1"/>
    </xf>
    <xf numFmtId="0" fontId="0" fillId="0" borderId="46" xfId="0" applyBorder="1" applyAlignment="1">
      <alignment horizontal="right" wrapText="1" indent="1"/>
    </xf>
    <xf numFmtId="0" fontId="0" fillId="0" borderId="130" xfId="0" applyBorder="1" applyAlignment="1">
      <alignment horizontal="right" wrapText="1" indent="1"/>
    </xf>
    <xf numFmtId="0" fontId="0" fillId="4" borderId="122" xfId="0" quotePrefix="1" applyFill="1" applyBorder="1" applyAlignment="1">
      <alignment horizontal="left" vertical="top" wrapText="1"/>
    </xf>
    <xf numFmtId="0" fontId="0" fillId="4" borderId="0" xfId="0" quotePrefix="1" applyFill="1" applyAlignment="1">
      <alignment horizontal="left" vertical="top" wrapText="1"/>
    </xf>
    <xf numFmtId="0" fontId="0" fillId="4" borderId="123" xfId="0" quotePrefix="1" applyFill="1" applyBorder="1" applyAlignment="1">
      <alignment horizontal="left" vertical="top" wrapText="1"/>
    </xf>
    <xf numFmtId="0" fontId="0" fillId="4" borderId="129" xfId="0" quotePrefix="1" applyFill="1" applyBorder="1" applyAlignment="1">
      <alignment horizontal="left" vertical="top" wrapText="1"/>
    </xf>
    <xf numFmtId="0" fontId="0" fillId="4" borderId="46" xfId="0" quotePrefix="1" applyFill="1" applyBorder="1" applyAlignment="1">
      <alignment horizontal="left" vertical="top" wrapText="1"/>
    </xf>
    <xf numFmtId="0" fontId="0" fillId="4" borderId="130" xfId="0" quotePrefix="1" applyFill="1" applyBorder="1" applyAlignment="1">
      <alignment horizontal="left" vertical="top" wrapText="1"/>
    </xf>
    <xf numFmtId="0" fontId="1" fillId="0" borderId="0" xfId="0" applyFont="1" applyAlignment="1">
      <alignment horizontal="left"/>
    </xf>
    <xf numFmtId="0" fontId="43" fillId="0" borderId="15" xfId="0" applyFont="1" applyBorder="1" applyAlignment="1">
      <alignment horizontal="center" vertical="center"/>
    </xf>
    <xf numFmtId="0" fontId="43" fillId="0" borderId="16" xfId="0" applyFont="1" applyBorder="1" applyAlignment="1">
      <alignment horizontal="center" vertical="center"/>
    </xf>
    <xf numFmtId="0" fontId="10" fillId="0" borderId="47" xfId="0" applyFont="1" applyBorder="1" applyAlignment="1" applyProtection="1">
      <alignment horizontal="center" vertical="center" wrapText="1"/>
      <protection hidden="1"/>
    </xf>
    <xf numFmtId="0" fontId="10" fillId="0" borderId="44" xfId="0" applyFont="1" applyBorder="1" applyAlignment="1" applyProtection="1">
      <alignment horizontal="center" vertical="center" wrapText="1"/>
      <protection hidden="1"/>
    </xf>
    <xf numFmtId="0" fontId="10" fillId="0" borderId="48" xfId="0" applyFont="1" applyBorder="1" applyAlignment="1" applyProtection="1">
      <alignment horizontal="center" vertical="center" wrapText="1"/>
      <protection hidden="1"/>
    </xf>
    <xf numFmtId="0" fontId="0" fillId="4" borderId="24" xfId="0" applyFill="1" applyBorder="1" applyAlignment="1" applyProtection="1">
      <alignment horizontal="center" vertical="top" wrapText="1"/>
      <protection hidden="1"/>
    </xf>
    <xf numFmtId="0" fontId="0" fillId="4" borderId="36" xfId="0" applyFill="1" applyBorder="1" applyAlignment="1" applyProtection="1">
      <alignment horizontal="center" vertical="top" wrapText="1"/>
      <protection hidden="1"/>
    </xf>
    <xf numFmtId="0" fontId="17" fillId="4" borderId="83" xfId="0" applyFont="1" applyFill="1" applyBorder="1" applyAlignment="1" applyProtection="1">
      <alignment horizontal="center" vertical="top" wrapText="1"/>
      <protection locked="0"/>
    </xf>
    <xf numFmtId="0" fontId="17" fillId="4" borderId="84" xfId="0" applyFont="1" applyFill="1" applyBorder="1" applyAlignment="1" applyProtection="1">
      <alignment horizontal="center" vertical="top" wrapText="1"/>
      <protection locked="0"/>
    </xf>
    <xf numFmtId="0" fontId="17" fillId="4" borderId="86" xfId="0" applyFont="1" applyFill="1" applyBorder="1" applyAlignment="1" applyProtection="1">
      <alignment horizontal="center" vertical="top" wrapText="1"/>
      <protection locked="0"/>
    </xf>
    <xf numFmtId="0" fontId="17" fillId="4" borderId="87" xfId="0" applyFont="1" applyFill="1" applyBorder="1" applyAlignment="1" applyProtection="1">
      <alignment horizontal="center" vertical="top" wrapText="1"/>
      <protection locked="0"/>
    </xf>
    <xf numFmtId="0" fontId="17" fillId="4" borderId="80" xfId="0" applyFont="1" applyFill="1" applyBorder="1" applyAlignment="1" applyProtection="1">
      <alignment horizontal="center" vertical="top" wrapText="1"/>
      <protection locked="0"/>
    </xf>
    <xf numFmtId="0" fontId="17" fillId="4" borderId="81" xfId="0" applyFont="1" applyFill="1" applyBorder="1" applyAlignment="1" applyProtection="1">
      <alignment horizontal="center" vertical="top" wrapText="1"/>
      <protection locked="0"/>
    </xf>
    <xf numFmtId="0" fontId="17" fillId="0" borderId="31" xfId="0" applyFont="1" applyBorder="1" applyAlignment="1" applyProtection="1">
      <alignment horizontal="center" vertical="top" wrapText="1"/>
      <protection locked="0"/>
    </xf>
    <xf numFmtId="0" fontId="17" fillId="0" borderId="7" xfId="0" applyFont="1" applyBorder="1" applyAlignment="1" applyProtection="1">
      <alignment horizontal="center" vertical="top" wrapText="1"/>
      <protection locked="0"/>
    </xf>
    <xf numFmtId="0" fontId="17" fillId="0" borderId="30" xfId="0" applyFont="1" applyBorder="1" applyAlignment="1" applyProtection="1">
      <alignment horizontal="center" vertical="top" wrapText="1"/>
      <protection locked="0"/>
    </xf>
    <xf numFmtId="0" fontId="17" fillId="0" borderId="5" xfId="0" applyFont="1" applyBorder="1" applyAlignment="1" applyProtection="1">
      <alignment horizontal="center" vertical="top" wrapText="1"/>
      <protection locked="0"/>
    </xf>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17" fillId="0" borderId="32" xfId="0" applyFont="1" applyBorder="1" applyAlignment="1" applyProtection="1">
      <alignment horizontal="center" vertical="top" wrapText="1"/>
      <protection locked="0"/>
    </xf>
    <xf numFmtId="0" fontId="17" fillId="0" borderId="4" xfId="0" applyFont="1" applyBorder="1" applyAlignment="1" applyProtection="1">
      <alignment horizontal="center" vertical="top" wrapText="1"/>
      <protection locked="0"/>
    </xf>
    <xf numFmtId="0" fontId="18" fillId="3" borderId="28" xfId="0" applyFont="1" applyFill="1" applyBorder="1" applyAlignment="1" applyProtection="1">
      <alignment horizontal="center" vertical="center" wrapText="1"/>
      <protection hidden="1"/>
    </xf>
    <xf numFmtId="0" fontId="18" fillId="3" borderId="27" xfId="0" applyFont="1" applyFill="1" applyBorder="1" applyAlignment="1" applyProtection="1">
      <alignment horizontal="center" vertical="center" wrapText="1"/>
      <protection hidden="1"/>
    </xf>
    <xf numFmtId="0" fontId="18" fillId="3" borderId="29" xfId="0" applyFont="1" applyFill="1" applyBorder="1" applyAlignment="1" applyProtection="1">
      <alignment horizontal="center" vertical="center" wrapText="1"/>
      <protection hidden="1"/>
    </xf>
    <xf numFmtId="0" fontId="17" fillId="0" borderId="30" xfId="0" applyFont="1" applyBorder="1" applyAlignment="1" applyProtection="1">
      <alignment horizontal="center" vertical="top" wrapText="1"/>
      <protection hidden="1"/>
    </xf>
    <xf numFmtId="0" fontId="17" fillId="0" borderId="5" xfId="0" applyFont="1" applyBorder="1" applyAlignment="1" applyProtection="1">
      <alignment horizontal="center" vertical="top" wrapText="1"/>
      <protection hidden="1"/>
    </xf>
    <xf numFmtId="0" fontId="17" fillId="0" borderId="10" xfId="0" applyFont="1" applyBorder="1" applyAlignment="1" applyProtection="1">
      <alignment horizontal="center" vertical="top" wrapText="1"/>
      <protection hidden="1"/>
    </xf>
    <xf numFmtId="0" fontId="17" fillId="0" borderId="31" xfId="0" applyFont="1" applyBorder="1" applyAlignment="1" applyProtection="1">
      <alignment horizontal="center" vertical="top" wrapText="1"/>
      <protection hidden="1"/>
    </xf>
    <xf numFmtId="0" fontId="17" fillId="0" borderId="7" xfId="0" applyFont="1" applyBorder="1" applyAlignment="1" applyProtection="1">
      <alignment horizontal="center" vertical="top" wrapText="1"/>
      <protection hidden="1"/>
    </xf>
    <xf numFmtId="0" fontId="17" fillId="0" borderId="8" xfId="0" applyFont="1" applyBorder="1" applyAlignment="1" applyProtection="1">
      <alignment horizontal="center" vertical="top" wrapText="1"/>
      <protection hidden="1"/>
    </xf>
    <xf numFmtId="0" fontId="17" fillId="0" borderId="32" xfId="0" applyFont="1" applyBorder="1" applyAlignment="1" applyProtection="1">
      <alignment horizontal="center" vertical="top" wrapText="1"/>
      <protection hidden="1"/>
    </xf>
    <xf numFmtId="0" fontId="17" fillId="0" borderId="4" xfId="0" applyFont="1" applyBorder="1" applyAlignment="1" applyProtection="1">
      <alignment horizontal="center" vertical="top" wrapText="1"/>
      <protection hidden="1"/>
    </xf>
    <xf numFmtId="0" fontId="28" fillId="4" borderId="36" xfId="0" applyFont="1" applyFill="1" applyBorder="1" applyAlignment="1" applyProtection="1">
      <alignment horizontal="center" vertical="center" wrapText="1"/>
      <protection hidden="1"/>
    </xf>
    <xf numFmtId="0" fontId="28" fillId="4" borderId="24" xfId="0" applyFont="1" applyFill="1" applyBorder="1" applyAlignment="1" applyProtection="1">
      <alignment horizontal="center" vertical="center" wrapText="1"/>
      <protection hidden="1"/>
    </xf>
    <xf numFmtId="164" fontId="17" fillId="0" borderId="30" xfId="0" applyNumberFormat="1" applyFont="1" applyBorder="1" applyAlignment="1" applyProtection="1">
      <alignment horizontal="center" vertical="top" wrapText="1"/>
      <protection hidden="1"/>
    </xf>
    <xf numFmtId="164" fontId="17" fillId="0" borderId="5" xfId="0" applyNumberFormat="1" applyFont="1" applyBorder="1" applyAlignment="1" applyProtection="1">
      <alignment horizontal="center" vertical="top" wrapText="1"/>
      <protection hidden="1"/>
    </xf>
    <xf numFmtId="3" fontId="17" fillId="0" borderId="31" xfId="0" applyNumberFormat="1" applyFont="1" applyBorder="1" applyAlignment="1" applyProtection="1">
      <alignment horizontal="center" vertical="top" wrapText="1"/>
      <protection locked="0"/>
    </xf>
    <xf numFmtId="3" fontId="17" fillId="0" borderId="7" xfId="0" applyNumberFormat="1" applyFont="1" applyBorder="1" applyAlignment="1" applyProtection="1">
      <alignment horizontal="center" vertical="top" wrapText="1"/>
      <protection locked="0"/>
    </xf>
    <xf numFmtId="3" fontId="17" fillId="0" borderId="32" xfId="0" applyNumberFormat="1" applyFont="1" applyBorder="1" applyAlignment="1" applyProtection="1">
      <alignment horizontal="center" vertical="top" wrapText="1"/>
      <protection locked="0"/>
    </xf>
    <xf numFmtId="3" fontId="17" fillId="0" borderId="4" xfId="0" applyNumberFormat="1" applyFont="1" applyBorder="1" applyAlignment="1" applyProtection="1">
      <alignment horizontal="center" vertical="top" wrapText="1"/>
      <protection locked="0"/>
    </xf>
    <xf numFmtId="0" fontId="17" fillId="8" borderId="32" xfId="0" applyFont="1" applyFill="1" applyBorder="1" applyAlignment="1" applyProtection="1">
      <alignment horizontal="center" vertical="top" wrapText="1"/>
      <protection locked="0"/>
    </xf>
    <xf numFmtId="0" fontId="17" fillId="8" borderId="4" xfId="0" applyFont="1" applyFill="1" applyBorder="1" applyAlignment="1" applyProtection="1">
      <alignment horizontal="center" vertical="top" wrapText="1"/>
      <protection locked="0"/>
    </xf>
    <xf numFmtId="0" fontId="17" fillId="0" borderId="41" xfId="0" applyFont="1" applyBorder="1" applyAlignment="1" applyProtection="1">
      <alignment horizontal="center" vertical="top" wrapText="1"/>
      <protection locked="0"/>
    </xf>
    <xf numFmtId="0" fontId="17" fillId="0" borderId="42" xfId="0" applyFont="1" applyBorder="1" applyAlignment="1" applyProtection="1">
      <alignment horizontal="center" vertical="top" wrapText="1"/>
      <protection locked="0"/>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0" borderId="51" xfId="0" applyFont="1" applyBorder="1" applyAlignment="1" applyProtection="1">
      <alignment horizontal="center" vertical="top" wrapText="1"/>
      <protection locked="0"/>
    </xf>
    <xf numFmtId="0" fontId="17" fillId="0" borderId="33" xfId="0" applyFont="1" applyBorder="1" applyAlignment="1" applyProtection="1">
      <alignment horizontal="center" vertical="top" wrapText="1"/>
      <protection locked="0"/>
    </xf>
    <xf numFmtId="0" fontId="17" fillId="0" borderId="9" xfId="0" applyFont="1" applyBorder="1" applyAlignment="1" applyProtection="1">
      <alignment horizontal="center" vertical="top" wrapText="1"/>
      <protection locked="0"/>
    </xf>
    <xf numFmtId="0" fontId="17" fillId="0" borderId="73" xfId="0" applyFont="1" applyBorder="1" applyAlignment="1" applyProtection="1">
      <alignment horizontal="center" vertical="top" wrapText="1"/>
      <protection locked="0"/>
    </xf>
    <xf numFmtId="0" fontId="17" fillId="0" borderId="18" xfId="0" applyFont="1" applyBorder="1" applyAlignment="1" applyProtection="1">
      <alignment horizontal="center" vertical="top" wrapText="1"/>
      <protection locked="0"/>
    </xf>
    <xf numFmtId="0" fontId="17" fillId="0" borderId="49" xfId="0" applyFont="1" applyBorder="1" applyAlignment="1" applyProtection="1">
      <alignment horizontal="left" vertical="top" wrapText="1"/>
      <protection locked="0"/>
    </xf>
    <xf numFmtId="0" fontId="17" fillId="0" borderId="46" xfId="0" applyFont="1" applyBorder="1" applyAlignment="1" applyProtection="1">
      <alignment horizontal="left" vertical="top" wrapText="1"/>
      <protection locked="0"/>
    </xf>
    <xf numFmtId="0" fontId="17" fillId="0" borderId="26" xfId="0" applyFont="1" applyBorder="1" applyAlignment="1" applyProtection="1">
      <alignment horizontal="left" vertical="top" wrapText="1"/>
      <protection locked="0"/>
    </xf>
    <xf numFmtId="0" fontId="17" fillId="0" borderId="11" xfId="0" applyFont="1" applyBorder="1" applyAlignment="1" applyProtection="1">
      <alignment horizontal="left" vertical="top" indent="1"/>
      <protection hidden="1"/>
    </xf>
    <xf numFmtId="0" fontId="17" fillId="0" borderId="8" xfId="0" applyFont="1" applyBorder="1" applyAlignment="1" applyProtection="1">
      <alignment horizontal="left" vertical="top" indent="1"/>
      <protection hidden="1"/>
    </xf>
    <xf numFmtId="0" fontId="17" fillId="0" borderId="72" xfId="0" applyFont="1" applyBorder="1" applyAlignment="1" applyProtection="1">
      <alignment horizontal="left" vertical="top" indent="1"/>
      <protection hidden="1"/>
    </xf>
    <xf numFmtId="0" fontId="17" fillId="0" borderId="73" xfId="0" applyFont="1" applyBorder="1" applyAlignment="1" applyProtection="1">
      <alignment horizontal="left" vertical="top" indent="1"/>
      <protection hidden="1"/>
    </xf>
    <xf numFmtId="0" fontId="17" fillId="0" borderId="76" xfId="0" applyFont="1" applyBorder="1" applyAlignment="1" applyProtection="1">
      <alignment horizontal="left" vertical="top" indent="1"/>
      <protection hidden="1"/>
    </xf>
    <xf numFmtId="0" fontId="17" fillId="0" borderId="10" xfId="0" applyFont="1" applyBorder="1" applyAlignment="1" applyProtection="1">
      <alignment horizontal="left" vertical="top" indent="1"/>
      <protection hidden="1"/>
    </xf>
    <xf numFmtId="0" fontId="17" fillId="0" borderId="11" xfId="0" applyFont="1" applyBorder="1" applyAlignment="1" applyProtection="1">
      <alignment horizontal="left" vertical="top" wrapText="1" indent="1"/>
      <protection hidden="1"/>
    </xf>
    <xf numFmtId="0" fontId="17" fillId="0" borderId="8" xfId="0" applyFont="1" applyBorder="1" applyAlignment="1" applyProtection="1">
      <alignment horizontal="left" vertical="top" wrapText="1" indent="1"/>
      <protection hidden="1"/>
    </xf>
    <xf numFmtId="0" fontId="1" fillId="4" borderId="24" xfId="0" applyFont="1" applyFill="1" applyBorder="1" applyAlignment="1" applyProtection="1">
      <alignment horizontal="left" vertical="center" indent="3"/>
      <protection hidden="1"/>
    </xf>
    <xf numFmtId="0" fontId="1" fillId="4" borderId="17" xfId="0" applyFont="1" applyFill="1" applyBorder="1" applyAlignment="1" applyProtection="1">
      <alignment horizontal="left" vertical="center" indent="3"/>
      <protection hidden="1"/>
    </xf>
    <xf numFmtId="0" fontId="17" fillId="0" borderId="74" xfId="0" applyFont="1" applyBorder="1" applyAlignment="1" applyProtection="1">
      <alignment horizontal="left" vertical="top" indent="1"/>
      <protection hidden="1"/>
    </xf>
    <xf numFmtId="0" fontId="17" fillId="0" borderId="18" xfId="0" applyFont="1" applyBorder="1" applyAlignment="1" applyProtection="1">
      <alignment horizontal="left" vertical="top" indent="1"/>
      <protection hidden="1"/>
    </xf>
    <xf numFmtId="0" fontId="17" fillId="0" borderId="75" xfId="0" applyFont="1" applyBorder="1" applyAlignment="1" applyProtection="1">
      <alignment horizontal="left" vertical="top" indent="1"/>
      <protection hidden="1"/>
    </xf>
    <xf numFmtId="0" fontId="17" fillId="0" borderId="17" xfId="0" applyFont="1" applyBorder="1" applyAlignment="1" applyProtection="1">
      <alignment horizontal="left" vertical="top" indent="1"/>
      <protection hidden="1"/>
    </xf>
    <xf numFmtId="0" fontId="17" fillId="0" borderId="11" xfId="0" applyFont="1" applyBorder="1" applyAlignment="1" applyProtection="1">
      <alignment horizontal="left" vertical="top" indent="3"/>
      <protection hidden="1"/>
    </xf>
    <xf numFmtId="0" fontId="17" fillId="0" borderId="8" xfId="0" applyFont="1" applyBorder="1" applyAlignment="1" applyProtection="1">
      <alignment horizontal="left" vertical="top" indent="3"/>
      <protection hidden="1"/>
    </xf>
    <xf numFmtId="0" fontId="17" fillId="0" borderId="74" xfId="0" applyFont="1" applyBorder="1" applyAlignment="1" applyProtection="1">
      <alignment horizontal="left" vertical="top" indent="3"/>
      <protection hidden="1"/>
    </xf>
    <xf numFmtId="0" fontId="17" fillId="0" borderId="19" xfId="0" applyFont="1" applyBorder="1" applyAlignment="1" applyProtection="1">
      <alignment horizontal="left" vertical="top" indent="3"/>
      <protection hidden="1"/>
    </xf>
    <xf numFmtId="0" fontId="17" fillId="0" borderId="7" xfId="0" applyFont="1" applyBorder="1" applyAlignment="1" applyProtection="1">
      <alignment horizontal="left" vertical="top" indent="3"/>
      <protection hidden="1"/>
    </xf>
    <xf numFmtId="0" fontId="17" fillId="0" borderId="77" xfId="0" applyFont="1" applyBorder="1" applyAlignment="1" applyProtection="1">
      <alignment horizontal="left" vertical="top" indent="1"/>
      <protection hidden="1"/>
    </xf>
    <xf numFmtId="0" fontId="17" fillId="0" borderId="20" xfId="0" applyFont="1" applyBorder="1" applyAlignment="1" applyProtection="1">
      <alignment horizontal="left" vertical="top" indent="1"/>
      <protection hidden="1"/>
    </xf>
    <xf numFmtId="0" fontId="17" fillId="0" borderId="77" xfId="0" applyFont="1" applyBorder="1" applyAlignment="1" applyProtection="1">
      <alignment horizontal="left" vertical="top" indent="3"/>
      <protection hidden="1"/>
    </xf>
    <xf numFmtId="0" fontId="17" fillId="0" borderId="20" xfId="0" applyFont="1" applyBorder="1" applyAlignment="1" applyProtection="1">
      <alignment horizontal="left" vertical="top" indent="3"/>
      <protection hidden="1"/>
    </xf>
    <xf numFmtId="0" fontId="17" fillId="0" borderId="46" xfId="0" applyFont="1" applyBorder="1" applyAlignment="1" applyProtection="1">
      <alignment horizontal="left" vertical="top" indent="1"/>
      <protection hidden="1"/>
    </xf>
    <xf numFmtId="0" fontId="17" fillId="0" borderId="26" xfId="0" applyFont="1" applyBorder="1" applyAlignment="1" applyProtection="1">
      <alignment horizontal="left" vertical="top" indent="1"/>
      <protection hidden="1"/>
    </xf>
    <xf numFmtId="0" fontId="17" fillId="0" borderId="44" xfId="0" applyFont="1" applyBorder="1" applyAlignment="1" applyProtection="1">
      <alignment horizontal="left" vertical="top" indent="1"/>
      <protection hidden="1"/>
    </xf>
    <xf numFmtId="0" fontId="17" fillId="0" borderId="48" xfId="0" applyFont="1" applyBorder="1" applyAlignment="1" applyProtection="1">
      <alignment horizontal="left" vertical="top" indent="1"/>
      <protection hidden="1"/>
    </xf>
    <xf numFmtId="0" fontId="1" fillId="4" borderId="78" xfId="0" applyFont="1" applyFill="1" applyBorder="1" applyAlignment="1" applyProtection="1">
      <alignment horizontal="left" vertical="center" indent="3"/>
      <protection hidden="1"/>
    </xf>
    <xf numFmtId="0" fontId="17" fillId="0" borderId="79" xfId="0" applyFont="1" applyBorder="1" applyAlignment="1" applyProtection="1">
      <alignment horizontal="left" vertical="top" indent="1"/>
      <protection hidden="1"/>
    </xf>
    <xf numFmtId="0" fontId="17" fillId="0" borderId="40" xfId="0" applyFont="1" applyBorder="1" applyAlignment="1" applyProtection="1">
      <alignment horizontal="left" vertical="top" indent="1"/>
      <protection hidden="1"/>
    </xf>
    <xf numFmtId="0" fontId="17" fillId="0" borderId="47" xfId="0" applyFont="1" applyBorder="1" applyAlignment="1" applyProtection="1">
      <alignment horizontal="center" vertical="top" wrapText="1"/>
      <protection locked="0"/>
    </xf>
    <xf numFmtId="0" fontId="17" fillId="0" borderId="44" xfId="0" applyFont="1" applyBorder="1" applyAlignment="1" applyProtection="1">
      <alignment horizontal="center" vertical="top" wrapText="1"/>
      <protection locked="0"/>
    </xf>
    <xf numFmtId="0" fontId="17" fillId="0" borderId="48" xfId="0" applyFont="1" applyBorder="1" applyAlignment="1" applyProtection="1">
      <alignment horizontal="center" vertical="top" wrapText="1"/>
      <protection locked="0"/>
    </xf>
    <xf numFmtId="0" fontId="29" fillId="0" borderId="109" xfId="0" applyFont="1" applyBorder="1" applyAlignment="1" applyProtection="1">
      <alignment horizontal="left"/>
      <protection hidden="1"/>
    </xf>
    <xf numFmtId="0" fontId="29" fillId="0" borderId="110" xfId="0" applyFont="1" applyBorder="1" applyAlignment="1" applyProtection="1">
      <alignment horizontal="left"/>
      <protection hidden="1"/>
    </xf>
    <xf numFmtId="0" fontId="29" fillId="0" borderId="111" xfId="0" applyFont="1" applyBorder="1" applyAlignment="1" applyProtection="1">
      <alignment horizontal="left"/>
      <protection hidden="1"/>
    </xf>
    <xf numFmtId="0" fontId="31" fillId="6" borderId="64" xfId="0" applyFont="1" applyFill="1" applyBorder="1" applyAlignment="1" applyProtection="1">
      <alignment horizontal="left" vertical="center"/>
      <protection hidden="1"/>
    </xf>
    <xf numFmtId="0" fontId="30" fillId="6" borderId="64"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center" wrapText="1"/>
      <protection hidden="1"/>
    </xf>
    <xf numFmtId="0" fontId="30" fillId="6" borderId="115" xfId="0" applyFont="1" applyFill="1" applyBorder="1" applyAlignment="1" applyProtection="1">
      <alignment horizontal="center"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0" fontId="31" fillId="0" borderId="64" xfId="0" applyFont="1" applyBorder="1" applyAlignment="1" applyProtection="1">
      <alignment horizontal="center" vertical="center" wrapText="1"/>
      <protection hidden="1"/>
    </xf>
    <xf numFmtId="0" fontId="31" fillId="0" borderId="0" xfId="0" applyFont="1" applyAlignment="1" applyProtection="1">
      <alignment horizontal="center" vertical="center" wrapText="1"/>
      <protection hidden="1"/>
    </xf>
    <xf numFmtId="164" fontId="31" fillId="0" borderId="64" xfId="0" applyNumberFormat="1" applyFont="1" applyBorder="1" applyAlignment="1" applyProtection="1">
      <alignment horizontal="center" vertical="center" wrapText="1"/>
      <protection hidden="1"/>
    </xf>
    <xf numFmtId="164" fontId="31" fillId="0" borderId="0" xfId="0" applyNumberFormat="1" applyFont="1" applyAlignment="1" applyProtection="1">
      <alignment horizontal="center" vertical="center" wrapText="1"/>
      <protection hidden="1"/>
    </xf>
    <xf numFmtId="3" fontId="31" fillId="0" borderId="64" xfId="0" applyNumberFormat="1" applyFont="1" applyBorder="1" applyAlignment="1" applyProtection="1">
      <alignment horizontal="center" vertical="center" wrapText="1"/>
      <protection hidden="1"/>
    </xf>
    <xf numFmtId="3" fontId="31" fillId="0" borderId="0" xfId="0" applyNumberFormat="1" applyFont="1" applyAlignment="1" applyProtection="1">
      <alignment horizontal="center" vertical="center" wrapText="1"/>
      <protection hidden="1"/>
    </xf>
    <xf numFmtId="0" fontId="29" fillId="0" borderId="0" xfId="0" applyFont="1" applyAlignment="1" applyProtection="1">
      <alignment horizontal="center" vertical="center"/>
      <protection hidden="1"/>
    </xf>
    <xf numFmtId="0" fontId="31" fillId="0" borderId="64" xfId="0" applyFont="1" applyBorder="1" applyAlignment="1" applyProtection="1">
      <alignment horizontal="left" vertical="center" wrapText="1" indent="1"/>
      <protection hidden="1"/>
    </xf>
    <xf numFmtId="0" fontId="31" fillId="0" borderId="0" xfId="0" applyFont="1" applyAlignment="1" applyProtection="1">
      <alignment horizontal="left" vertical="center" wrapText="1" indent="1"/>
      <protection hidden="1"/>
    </xf>
    <xf numFmtId="164" fontId="31" fillId="0" borderId="65" xfId="0" applyNumberFormat="1" applyFont="1" applyBorder="1" applyAlignment="1" applyProtection="1">
      <alignment horizontal="center" vertical="center" wrapText="1"/>
      <protection hidden="1"/>
    </xf>
    <xf numFmtId="0" fontId="31" fillId="0" borderId="65" xfId="0" applyFont="1" applyBorder="1" applyAlignment="1" applyProtection="1">
      <alignment horizontal="center" vertical="center" wrapText="1"/>
      <protection hidden="1"/>
    </xf>
    <xf numFmtId="0" fontId="29" fillId="0" borderId="65" xfId="0" applyFont="1" applyBorder="1" applyAlignment="1" applyProtection="1">
      <alignment horizontal="center" vertical="center"/>
      <protection hidden="1"/>
    </xf>
    <xf numFmtId="0" fontId="31" fillId="0" borderId="65" xfId="0" applyFont="1" applyBorder="1" applyAlignment="1" applyProtection="1">
      <alignment horizontal="left" vertical="center" wrapText="1" indent="1"/>
      <protection hidden="1"/>
    </xf>
    <xf numFmtId="3" fontId="31" fillId="0" borderId="65" xfId="0" applyNumberFormat="1" applyFont="1" applyBorder="1" applyAlignment="1" applyProtection="1">
      <alignment horizontal="center" vertical="center" wrapText="1"/>
      <protection hidden="1"/>
    </xf>
    <xf numFmtId="0" fontId="35" fillId="6" borderId="101" xfId="0" applyFont="1" applyFill="1" applyBorder="1" applyAlignment="1" applyProtection="1">
      <alignment horizontal="center" vertical="center" wrapText="1"/>
      <protection hidden="1"/>
    </xf>
    <xf numFmtId="0" fontId="35" fillId="6" borderId="102" xfId="0" applyFont="1" applyFill="1" applyBorder="1" applyAlignment="1" applyProtection="1">
      <alignment horizontal="center" vertical="center" wrapText="1"/>
      <protection hidden="1"/>
    </xf>
    <xf numFmtId="0" fontId="35" fillId="6" borderId="35" xfId="0" applyFont="1" applyFill="1" applyBorder="1" applyAlignment="1" applyProtection="1">
      <alignment horizontal="center" vertical="center" wrapText="1"/>
      <protection hidden="1"/>
    </xf>
    <xf numFmtId="0" fontId="35" fillId="6" borderId="99" xfId="0" applyFont="1" applyFill="1" applyBorder="1" applyAlignment="1" applyProtection="1">
      <alignment horizontal="center" vertical="center" wrapText="1"/>
      <protection hidden="1"/>
    </xf>
    <xf numFmtId="0" fontId="35" fillId="6" borderId="100" xfId="0" applyFont="1" applyFill="1" applyBorder="1" applyAlignment="1" applyProtection="1">
      <alignment horizontal="center" vertical="center" wrapText="1"/>
      <protection hidden="1"/>
    </xf>
    <xf numFmtId="0" fontId="35" fillId="6" borderId="103" xfId="0" applyFont="1" applyFill="1" applyBorder="1" applyAlignment="1" applyProtection="1">
      <alignment horizontal="center" vertical="center" wrapText="1"/>
      <protection hidden="1"/>
    </xf>
    <xf numFmtId="0" fontId="44" fillId="0" borderId="112" xfId="0" applyFont="1" applyBorder="1" applyAlignment="1" applyProtection="1">
      <alignment horizontal="left"/>
      <protection hidden="1"/>
    </xf>
    <xf numFmtId="0" fontId="44" fillId="0" borderId="113" xfId="0" applyFont="1" applyBorder="1" applyAlignment="1" applyProtection="1">
      <alignment horizontal="left"/>
      <protection hidden="1"/>
    </xf>
    <xf numFmtId="0" fontId="44" fillId="0" borderId="114" xfId="0" applyFont="1" applyBorder="1" applyAlignment="1" applyProtection="1">
      <alignment horizontal="left"/>
      <protection hidden="1"/>
    </xf>
    <xf numFmtId="0" fontId="17" fillId="0" borderId="31" xfId="0" applyFont="1" applyFill="1" applyBorder="1" applyAlignment="1" applyProtection="1">
      <alignment horizontal="center" vertical="top" wrapText="1"/>
      <protection locked="0"/>
    </xf>
    <xf numFmtId="0" fontId="17" fillId="0" borderId="7" xfId="0" applyFont="1" applyFill="1" applyBorder="1" applyAlignment="1" applyProtection="1">
      <alignment horizontal="center" vertical="top" wrapText="1"/>
      <protection locked="0"/>
    </xf>
    <xf numFmtId="0" fontId="17" fillId="0" borderId="32" xfId="0" applyFont="1" applyFill="1" applyBorder="1" applyAlignment="1" applyProtection="1">
      <alignment horizontal="center" vertical="top" wrapText="1"/>
      <protection locked="0"/>
    </xf>
    <xf numFmtId="0" fontId="17" fillId="0" borderId="4" xfId="0" applyFont="1" applyFill="1" applyBorder="1" applyAlignment="1" applyProtection="1">
      <alignment horizontal="center" vertical="top" wrapText="1"/>
      <protection locked="0"/>
    </xf>
  </cellXfs>
  <cellStyles count="3">
    <cellStyle name="Hyperlink" xfId="2" builtinId="8"/>
    <cellStyle name="Normal" xfId="0" builtinId="0"/>
    <cellStyle name="Percent" xfId="1" builtinId="5"/>
  </cellStyles>
  <dxfs count="773">
    <dxf>
      <font>
        <b val="0"/>
        <i/>
        <color theme="0" tint="-0.24994659260841701"/>
      </font>
      <fill>
        <patternFill patternType="none">
          <bgColor auto="1"/>
        </patternFill>
      </fill>
    </dxf>
    <dxf>
      <font>
        <color auto="1"/>
      </font>
      <fill>
        <patternFill>
          <bgColor rgb="FFFAA0A0"/>
        </patternFill>
      </fill>
    </dxf>
    <dxf>
      <font>
        <color auto="1"/>
      </font>
      <fill>
        <patternFill>
          <bgColor theme="9" tint="0.39994506668294322"/>
        </patternFill>
      </fill>
    </dxf>
    <dxf>
      <font>
        <color auto="1"/>
      </font>
      <fill>
        <patternFill>
          <bgColor theme="7"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border>
        <top style="thin">
          <color theme="1"/>
        </top>
        <bottom style="thin">
          <color theme="1"/>
        </bottom>
        <vertical/>
        <horizontal/>
      </border>
    </dxf>
    <dxf>
      <font>
        <color theme="0"/>
      </font>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border>
        <top style="thin">
          <color auto="1"/>
        </top>
        <bottom style="thin">
          <color auto="1"/>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ill>
        <patternFill>
          <bgColor theme="0"/>
        </patternFill>
      </fill>
      <border>
        <left/>
        <right style="thin">
          <color theme="0"/>
        </right>
        <top style="thin">
          <color theme="1"/>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auto="1"/>
      </font>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auto="1"/>
      </font>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auto="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auto="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auto="1"/>
      </font>
      <fill>
        <patternFill>
          <bgColor theme="7" tint="0.79998168889431442"/>
        </patternFill>
      </fill>
    </dxf>
    <dxf>
      <fill>
        <patternFill>
          <bgColor theme="7" tint="0.79998168889431442"/>
        </patternFill>
      </fill>
    </dxf>
    <dxf>
      <fill>
        <patternFill>
          <bgColor theme="0"/>
        </patternFill>
      </fill>
      <border>
        <top style="thin">
          <color theme="0" tint="-0.24994659260841701"/>
        </top>
      </border>
    </dxf>
    <dxf>
      <font>
        <b/>
        <i val="0"/>
        <color rgb="FF9C0006"/>
      </font>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val="0"/>
        <i val="0"/>
        <color auto="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0"/>
      </font>
      <border>
        <bottom style="thin">
          <color theme="0"/>
        </bottom>
        <vertical/>
        <horizontal/>
      </border>
    </dxf>
  </dxfs>
  <tableStyles count="1" defaultTableStyle="TableStyleMedium2" defaultPivotStyle="PivotStyleLight16">
    <tableStyle name="Estilo de tabla 1" pivot="0" count="0" xr9:uid="{69445539-FC0C-4409-8607-9658B4EBB9ED}"/>
  </tableStyles>
  <colors>
    <mruColors>
      <color rgb="FFFAA0A0"/>
      <color rgb="FFA40000"/>
      <color rgb="FFF9A299"/>
      <color rgb="FFFF9B9B"/>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1.a. </a:t>
            </a:r>
            <a:r>
              <a:rPr lang="es-ES" sz="1200" b="0" u="none" cap="none" baseline="0">
                <a:latin typeface="+mj-lt"/>
              </a:rPr>
              <a:t>Summary of Risk of Bias assessment</a:t>
            </a:r>
          </a:p>
        </c:rich>
      </c:tx>
      <c:layout>
        <c:manualLayout>
          <c:xMode val="edge"/>
          <c:yMode val="edge"/>
          <c:x val="2.7613048368953893E-2"/>
          <c:y val="3.1111100223586974E-2"/>
        </c:manualLayout>
      </c:layout>
      <c:overlay val="0"/>
      <c:spPr>
        <a:noFill/>
        <a:ln>
          <a:noFill/>
        </a:ln>
        <a:effectLst/>
      </c:spPr>
      <c:txPr>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RoB</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summary'!$C$37:$F$37,'PROBAST summary'!$J$37)</c:f>
              <c:numCache>
                <c:formatCode>0%</c:formatCode>
                <c:ptCount val="5"/>
                <c:pt idx="0">
                  <c:v>0.66666666666666663</c:v>
                </c:pt>
                <c:pt idx="1">
                  <c:v>0.55555555555555558</c:v>
                </c:pt>
                <c:pt idx="2">
                  <c:v>0.66666666666666663</c:v>
                </c:pt>
                <c:pt idx="3">
                  <c:v>0</c:v>
                </c:pt>
                <c:pt idx="4">
                  <c:v>0</c:v>
                </c:pt>
              </c:numCache>
            </c:numRef>
          </c:val>
          <c:extLst>
            <c:ext xmlns:c16="http://schemas.microsoft.com/office/drawing/2014/chart" uri="{C3380CC4-5D6E-409C-BE32-E72D297353CC}">
              <c16:uniqueId val="{00000000-5808-45C4-AA6C-6265F38F6611}"/>
            </c:ext>
          </c:extLst>
        </c:ser>
        <c:ser>
          <c:idx val="1"/>
          <c:order val="1"/>
          <c:tx>
            <c:v>High RoB</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summary'!$C$38:$F$38,'PROBAST summary'!$J$38)</c:f>
              <c:numCache>
                <c:formatCode>0%</c:formatCode>
                <c:ptCount val="5"/>
                <c:pt idx="0">
                  <c:v>0</c:v>
                </c:pt>
                <c:pt idx="1">
                  <c:v>0.1111111111111111</c:v>
                </c:pt>
                <c:pt idx="2">
                  <c:v>0</c:v>
                </c:pt>
                <c:pt idx="3">
                  <c:v>0.88888888888888884</c:v>
                </c:pt>
                <c:pt idx="4">
                  <c:v>0.88888888888888884</c:v>
                </c:pt>
              </c:numCache>
            </c:numRef>
          </c:val>
          <c:extLst>
            <c:ext xmlns:c16="http://schemas.microsoft.com/office/drawing/2014/chart" uri="{C3380CC4-5D6E-409C-BE32-E72D297353CC}">
              <c16:uniqueId val="{00000001-5808-45C4-AA6C-6265F38F6611}"/>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summary'!$C$39:$F$39,'PROBAST summary'!$J$39)</c:f>
              <c:numCache>
                <c:formatCode>0%</c:formatCode>
                <c:ptCount val="5"/>
                <c:pt idx="0">
                  <c:v>0.33333333333333337</c:v>
                </c:pt>
                <c:pt idx="1">
                  <c:v>0.33333333333333326</c:v>
                </c:pt>
                <c:pt idx="2">
                  <c:v>0.33333333333333337</c:v>
                </c:pt>
                <c:pt idx="3">
                  <c:v>0.11111111111111116</c:v>
                </c:pt>
                <c:pt idx="4">
                  <c:v>0.11111111111111116</c:v>
                </c:pt>
              </c:numCache>
            </c:numRef>
          </c:val>
          <c:extLst>
            <c:ext xmlns:c16="http://schemas.microsoft.com/office/drawing/2014/chart" uri="{C3380CC4-5D6E-409C-BE32-E72D297353CC}">
              <c16:uniqueId val="{00000002-5808-45C4-AA6C-6265F38F6611}"/>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1.b. </a:t>
            </a:r>
            <a:r>
              <a:rPr lang="es-ES" sz="1200" b="0" u="none" cap="none" baseline="0">
                <a:latin typeface="+mj-lt"/>
              </a:rPr>
              <a:t>Summary of Applicability assessment</a:t>
            </a:r>
          </a:p>
        </c:rich>
      </c:tx>
      <c:layout>
        <c:manualLayout>
          <c:xMode val="edge"/>
          <c:yMode val="edge"/>
          <c:x val="1.8845144356955366E-2"/>
          <c:y val="3.0769230769230771E-2"/>
        </c:manualLayout>
      </c:layout>
      <c:overlay val="0"/>
      <c:spPr>
        <a:noFill/>
        <a:ln>
          <a:noFill/>
        </a:ln>
        <a:effectLst/>
      </c:spPr>
      <c:txPr>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concern</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summary'!$G$37:$I$37,'PROBAST summary'!$K$37)</c:f>
              <c:numCache>
                <c:formatCode>0%</c:formatCode>
                <c:ptCount val="4"/>
                <c:pt idx="0">
                  <c:v>0.55555555555555558</c:v>
                </c:pt>
                <c:pt idx="1">
                  <c:v>0.55555555555555558</c:v>
                </c:pt>
                <c:pt idx="2">
                  <c:v>0.66666666666666663</c:v>
                </c:pt>
                <c:pt idx="3">
                  <c:v>0.44444444444444442</c:v>
                </c:pt>
              </c:numCache>
            </c:numRef>
          </c:val>
          <c:extLst>
            <c:ext xmlns:c16="http://schemas.microsoft.com/office/drawing/2014/chart" uri="{C3380CC4-5D6E-409C-BE32-E72D297353CC}">
              <c16:uniqueId val="{00000000-1DD3-4B82-9C3F-91FBC7F62F7F}"/>
            </c:ext>
          </c:extLst>
        </c:ser>
        <c:ser>
          <c:idx val="1"/>
          <c:order val="1"/>
          <c:tx>
            <c:v>High concern</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summary'!$G$38:$I$38,'PROBAST summary'!$K$38)</c:f>
              <c:numCache>
                <c:formatCode>0%</c:formatCode>
                <c:ptCount val="4"/>
                <c:pt idx="0">
                  <c:v>0.1111111111111111</c:v>
                </c:pt>
                <c:pt idx="1">
                  <c:v>0.1111111111111111</c:v>
                </c:pt>
                <c:pt idx="2">
                  <c:v>0</c:v>
                </c:pt>
                <c:pt idx="3">
                  <c:v>0.22222222222222221</c:v>
                </c:pt>
              </c:numCache>
            </c:numRef>
          </c:val>
          <c:extLst>
            <c:ext xmlns:c16="http://schemas.microsoft.com/office/drawing/2014/chart" uri="{C3380CC4-5D6E-409C-BE32-E72D297353CC}">
              <c16:uniqueId val="{00000001-1DD3-4B82-9C3F-91FBC7F62F7F}"/>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summary'!$G$39:$I$39,'PROBAST summary'!$K$39)</c:f>
              <c:numCache>
                <c:formatCode>0%</c:formatCode>
                <c:ptCount val="4"/>
                <c:pt idx="0">
                  <c:v>0.33333333333333326</c:v>
                </c:pt>
                <c:pt idx="1">
                  <c:v>0.33333333333333326</c:v>
                </c:pt>
                <c:pt idx="2">
                  <c:v>0.33333333333333337</c:v>
                </c:pt>
                <c:pt idx="3">
                  <c:v>0.33333333333333337</c:v>
                </c:pt>
              </c:numCache>
            </c:numRef>
          </c:val>
          <c:extLst>
            <c:ext xmlns:c16="http://schemas.microsoft.com/office/drawing/2014/chart" uri="{C3380CC4-5D6E-409C-BE32-E72D297353CC}">
              <c16:uniqueId val="{00000002-1DD3-4B82-9C3F-91FBC7F62F7F}"/>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majorGridlines>
          <c:spPr>
            <a:ln w="9525" cap="flat" cmpd="sng" algn="ctr">
              <a:gradFill>
                <a:gsLst>
                  <a:gs pos="0">
                    <a:schemeClr val="tx1">
                      <a:lumMod val="5000"/>
                      <a:lumOff val="95000"/>
                    </a:schemeClr>
                  </a:gs>
                  <a:gs pos="10000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trlProps/ctrlProp1.xml><?xml version="1.0" encoding="utf-8"?>
<formControlPr xmlns="http://schemas.microsoft.com/office/spreadsheetml/2009/9/main" objectType="CheckBox" checked="Checked" fmlaLink="SUMMARY!$B$7" lockText="1" noThreeD="1"/>
</file>

<file path=xl/ctrlProps/ctrlProp2.xml><?xml version="1.0" encoding="utf-8"?>
<formControlPr xmlns="http://schemas.microsoft.com/office/spreadsheetml/2009/9/main" objectType="CheckBox" checked="Checked" fmlaLink="SUMMARY!$B8" lockText="1" noThreeD="1"/>
</file>

<file path=xl/ctrlProps/ctrlProp3.xml><?xml version="1.0" encoding="utf-8"?>
<formControlPr xmlns="http://schemas.microsoft.com/office/spreadsheetml/2009/9/main" objectType="CheckBox" checked="Checked" fmlaLink="SUMMARY!$B9" lockText="1" noThreeD="1"/>
</file>

<file path=xl/ctrlProps/ctrlProp4.xml><?xml version="1.0" encoding="utf-8"?>
<formControlPr xmlns="http://schemas.microsoft.com/office/spreadsheetml/2009/9/main" objectType="CheckBox" checked="Checked" fmlaLink="SUMMARY!$B10" lockText="1" noThreeD="1"/>
</file>

<file path=xl/ctrlProps/ctrlProp5.xml><?xml version="1.0" encoding="utf-8"?>
<formControlPr xmlns="http://schemas.microsoft.com/office/spreadsheetml/2009/9/main" objectType="CheckBox" checked="Checked" fmlaLink="SUMMARY!$B11" lockText="1" noThreeD="1"/>
</file>

<file path=xl/ctrlProps/ctrlProp6.xml><?xml version="1.0" encoding="utf-8"?>
<formControlPr xmlns="http://schemas.microsoft.com/office/spreadsheetml/2009/9/main" objectType="CheckBox" checked="Checked" fmlaLink="SUMMARY!$B12" lockText="1" noThreeD="1"/>
</file>

<file path=xl/ctrlProps/ctrlProp7.xml><?xml version="1.0" encoding="utf-8"?>
<formControlPr xmlns="http://schemas.microsoft.com/office/spreadsheetml/2009/9/main" objectType="CheckBox" checked="Checked" fmlaLink="SUMMARY!$B13" lockText="1" noThreeD="1"/>
</file>

<file path=xl/ctrlProps/ctrlProp8.xml><?xml version="1.0" encoding="utf-8"?>
<formControlPr xmlns="http://schemas.microsoft.com/office/spreadsheetml/2009/9/main" objectType="CheckBox" checked="Checked" fmlaLink="SUMMARY!$B14" lockText="1" noThreeD="1"/>
</file>

<file path=xl/ctrlProps/ctrlProp9.xml><?xml version="1.0" encoding="utf-8"?>
<formControlPr xmlns="http://schemas.microsoft.com/office/spreadsheetml/2009/9/main" objectType="CheckBox" checked="Checked" fmlaLink="SUMMARY!$B15" lockText="1" noThreeD="1"/>
</file>

<file path=xl/ctrlProps/ctrlProp10.xml><?xml version="1.0" encoding="utf-8"?>
<formControlPr xmlns="http://schemas.microsoft.com/office/spreadsheetml/2009/9/main" objectType="CheckBox" fmlaLink="SUMMARY!$B16" lockText="1" noThreeD="1"/>
</file>

<file path=xl/ctrlProps/ctrlProp11.xml><?xml version="1.0" encoding="utf-8"?>
<formControlPr xmlns="http://schemas.microsoft.com/office/spreadsheetml/2009/9/main" objectType="CheckBox" fmlaLink="SUMMARY!$B17" lockText="1" noThreeD="1"/>
</file>

<file path=xl/ctrlProps/ctrlProp12.xml><?xml version="1.0" encoding="utf-8"?>
<formControlPr xmlns="http://schemas.microsoft.com/office/spreadsheetml/2009/9/main" objectType="CheckBox" fmlaLink="SUMMARY!$B18" lockText="1" noThreeD="1"/>
</file>

<file path=xl/ctrlProps/ctrlProp13.xml><?xml version="1.0" encoding="utf-8"?>
<formControlPr xmlns="http://schemas.microsoft.com/office/spreadsheetml/2009/9/main" objectType="CheckBox" fmlaLink="SUMMARY!$B19" lockText="1" noThreeD="1"/>
</file>

<file path=xl/ctrlProps/ctrlProp14.xml><?xml version="1.0" encoding="utf-8"?>
<formControlPr xmlns="http://schemas.microsoft.com/office/spreadsheetml/2009/9/main" objectType="CheckBox" fmlaLink="SUMMARY!$B20" lockText="1" noThreeD="1"/>
</file>

<file path=xl/ctrlProps/ctrlProp15.xml><?xml version="1.0" encoding="utf-8"?>
<formControlPr xmlns="http://schemas.microsoft.com/office/spreadsheetml/2009/9/main" objectType="CheckBox" fmlaLink="SUMMARY!$B21" lockText="1" noThreeD="1"/>
</file>

<file path=xl/ctrlProps/ctrlProp16.xml><?xml version="1.0" encoding="utf-8"?>
<formControlPr xmlns="http://schemas.microsoft.com/office/spreadsheetml/2009/9/main" objectType="CheckBox" fmlaLink="SUMMARY!$B22" lockText="1" noThreeD="1"/>
</file>

<file path=xl/ctrlProps/ctrlProp17.xml><?xml version="1.0" encoding="utf-8"?>
<formControlPr xmlns="http://schemas.microsoft.com/office/spreadsheetml/2009/9/main" objectType="CheckBox" fmlaLink="SUMMARY!$B23" lockText="1" noThreeD="1"/>
</file>

<file path=xl/ctrlProps/ctrlProp18.xml><?xml version="1.0" encoding="utf-8"?>
<formControlPr xmlns="http://schemas.microsoft.com/office/spreadsheetml/2009/9/main" objectType="CheckBox" fmlaLink="SUMMARY!$B24" lockText="1" noThreeD="1"/>
</file>

<file path=xl/ctrlProps/ctrlProp19.xml><?xml version="1.0" encoding="utf-8"?>
<formControlPr xmlns="http://schemas.microsoft.com/office/spreadsheetml/2009/9/main" objectType="CheckBox" fmlaLink="SUMMARY!$B25" lockText="1" noThreeD="1"/>
</file>

<file path=xl/ctrlProps/ctrlProp20.xml><?xml version="1.0" encoding="utf-8"?>
<formControlPr xmlns="http://schemas.microsoft.com/office/spreadsheetml/2009/9/main" objectType="CheckBox" fmlaLink="SUMMARY!$B26" lockText="1" noThreeD="1"/>
</file>

<file path=xl/ctrlProps/ctrlProp21.xml><?xml version="1.0" encoding="utf-8"?>
<formControlPr xmlns="http://schemas.microsoft.com/office/spreadsheetml/2009/9/main" objectType="CheckBox" fmlaLink="SUMMARY!$B27" lockText="1" noThreeD="1"/>
</file>

<file path=xl/ctrlProps/ctrlProp22.xml><?xml version="1.0" encoding="utf-8"?>
<formControlPr xmlns="http://schemas.microsoft.com/office/spreadsheetml/2009/9/main" objectType="CheckBox" fmlaLink="SUMMARY!$B28" lockText="1" noThreeD="1"/>
</file>

<file path=xl/ctrlProps/ctrlProp23.xml><?xml version="1.0" encoding="utf-8"?>
<formControlPr xmlns="http://schemas.microsoft.com/office/spreadsheetml/2009/9/main" objectType="CheckBox" fmlaLink="SUMMARY!$B29" lockText="1" noThreeD="1"/>
</file>

<file path=xl/ctrlProps/ctrlProp24.xml><?xml version="1.0" encoding="utf-8"?>
<formControlPr xmlns="http://schemas.microsoft.com/office/spreadsheetml/2009/9/main" objectType="CheckBox" fmlaLink="SUMMARY!$B30" lockText="1" noThreeD="1"/>
</file>

<file path=xl/ctrlProps/ctrlProp25.xml><?xml version="1.0" encoding="utf-8"?>
<formControlPr xmlns="http://schemas.microsoft.com/office/spreadsheetml/2009/9/main" objectType="CheckBox" fmlaLink="SUMMARY!$B31" lockText="1" noThreeD="1"/>
</file>

<file path=xl/ctrlProps/ctrlProp26.xml><?xml version="1.0" encoding="utf-8"?>
<formControlPr xmlns="http://schemas.microsoft.com/office/spreadsheetml/2009/9/main" objectType="CheckBox" fmlaLink="SUMMARY!$B32" lockText="1" noThreeD="1"/>
</file>

<file path=xl/ctrlProps/ctrlProp27.xml><?xml version="1.0" encoding="utf-8"?>
<formControlPr xmlns="http://schemas.microsoft.com/office/spreadsheetml/2009/9/main" objectType="CheckBox" fmlaLink="SUMMARY!$B33" lockText="1" noThreeD="1"/>
</file>

<file path=xl/ctrlProps/ctrlProp28.xml><?xml version="1.0" encoding="utf-8"?>
<formControlPr xmlns="http://schemas.microsoft.com/office/spreadsheetml/2009/9/main" objectType="CheckBox" fmlaLink="SUMMARY!$B34" lockText="1" noThreeD="1"/>
</file>

<file path=xl/ctrlProps/ctrlProp29.xml><?xml version="1.0" encoding="utf-8"?>
<formControlPr xmlns="http://schemas.microsoft.com/office/spreadsheetml/2009/9/main" objectType="CheckBox" fmlaLink="SUMMARY!$B35" lockText="1" noThreeD="1"/>
</file>

<file path=xl/ctrlProps/ctrlProp30.xml><?xml version="1.0" encoding="utf-8"?>
<formControlPr xmlns="http://schemas.microsoft.com/office/spreadsheetml/2009/9/main" objectType="CheckBox" fmlaLink="SUMMARY!$B36" lockText="1" noThreeD="1"/>
</file>

<file path=xl/drawings/_rels/drawing1.xml.rels><?xml version="1.0" encoding="UTF-8" standalone="yes"?>
<Relationships xmlns="http://schemas.openxmlformats.org/package/2006/relationships"><Relationship Id="rId8" Type="http://schemas.openxmlformats.org/officeDocument/2006/relationships/hyperlink" Target="#'Model characteristics'!A1"/><Relationship Id="rId3" Type="http://schemas.openxmlformats.org/officeDocument/2006/relationships/hyperlink" Target="https://journals.plos.org/plosmedicine/article/file?id=10.1371/journal.pmed.1001744&amp;type=printable" TargetMode="External"/><Relationship Id="rId7" Type="http://schemas.openxmlformats.org/officeDocument/2006/relationships/hyperlink" Target="#'Study Characteristics'!A1"/><Relationship Id="rId2" Type="http://schemas.openxmlformats.org/officeDocument/2006/relationships/image" Target="../media/image1.jpg"/><Relationship Id="rId1" Type="http://schemas.openxmlformats.org/officeDocument/2006/relationships/hyperlink" Target="#'3. Predictor factors'!A1"/><Relationship Id="rId6" Type="http://schemas.openxmlformats.org/officeDocument/2006/relationships/hyperlink" Target="#PROBAST!A1"/><Relationship Id="rId11" Type="http://schemas.openxmlformats.org/officeDocument/2006/relationships/hyperlink" Target="#SUMMARY!A1"/><Relationship Id="rId5" Type="http://schemas.openxmlformats.org/officeDocument/2006/relationships/hyperlink" Target="https://www.probast.org/" TargetMode="External"/><Relationship Id="rId10" Type="http://schemas.openxmlformats.org/officeDocument/2006/relationships/image" Target="../media/image2.jpg"/><Relationship Id="rId4" Type="http://schemas.openxmlformats.org/officeDocument/2006/relationships/hyperlink" Target="#CHARMS!A1"/><Relationship Id="rId9" Type="http://schemas.openxmlformats.org/officeDocument/2006/relationships/hyperlink" Target="#'PROBAST summary'!A1"/></Relationships>
</file>

<file path=xl/drawings/_rels/drawing2.xml.rels><?xml version="1.0" encoding="UTF-8" standalone="yes"?>
<Relationships xmlns="http://schemas.openxmlformats.org/package/2006/relationships"><Relationship Id="rId8" Type="http://schemas.openxmlformats.org/officeDocument/2006/relationships/hyperlink" Target="#'Table 3. Summary PROBAST'!A1"/><Relationship Id="rId3" Type="http://schemas.openxmlformats.org/officeDocument/2006/relationships/hyperlink" Target="#HOME!A1"/><Relationship Id="rId7" Type="http://schemas.openxmlformats.org/officeDocument/2006/relationships/hyperlink" Target="#'Table 2. Model characteristics'!A1"/><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hyperlink" Target="#'Table 1. Study Characteristics'!A1"/><Relationship Id="rId5" Type="http://schemas.openxmlformats.org/officeDocument/2006/relationships/hyperlink" Target="#PROBAST!A1"/><Relationship Id="rId4" Type="http://schemas.openxmlformats.org/officeDocument/2006/relationships/hyperlink" Target="#CHARMS!A1"/></Relationships>
</file>

<file path=xl/drawings/_rels/drawing3.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3" Type="http://schemas.openxmlformats.org/officeDocument/2006/relationships/hyperlink" Target="#Resumen!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SUMMARY!A1"/><Relationship Id="rId4"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2</xdr:col>
      <xdr:colOff>1333500</xdr:colOff>
      <xdr:row>39</xdr:row>
      <xdr:rowOff>109538</xdr:rowOff>
    </xdr:from>
    <xdr:to>
      <xdr:col>2</xdr:col>
      <xdr:colOff>2845500</xdr:colOff>
      <xdr:row>40</xdr:row>
      <xdr:rowOff>125513</xdr:rowOff>
    </xdr:to>
    <xdr:sp macro="" textlink="">
      <xdr:nvSpPr>
        <xdr:cNvPr id="7" name="Rectángulo: esquinas redondeadas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3724275" y="4586288"/>
          <a:ext cx="1512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Predictor Factors</a:t>
          </a:r>
        </a:p>
      </xdr:txBody>
    </xdr:sp>
    <xdr:clientData/>
  </xdr:twoCellAnchor>
  <xdr:twoCellAnchor>
    <xdr:from>
      <xdr:col>8</xdr:col>
      <xdr:colOff>411480</xdr:colOff>
      <xdr:row>3</xdr:row>
      <xdr:rowOff>116205</xdr:rowOff>
    </xdr:from>
    <xdr:to>
      <xdr:col>9</xdr:col>
      <xdr:colOff>904239</xdr:colOff>
      <xdr:row>6</xdr:row>
      <xdr:rowOff>65070</xdr:rowOff>
    </xdr:to>
    <xdr:pic>
      <xdr:nvPicPr>
        <xdr:cNvPr id="38" name="Imagen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07630" y="859155"/>
          <a:ext cx="1673859" cy="634665"/>
        </a:xfrm>
        <a:prstGeom prst="rect">
          <a:avLst/>
        </a:prstGeom>
      </xdr:spPr>
    </xdr:pic>
    <xdr:clientData/>
  </xdr:twoCellAnchor>
  <xdr:twoCellAnchor editAs="oneCell">
    <xdr:from>
      <xdr:col>1</xdr:col>
      <xdr:colOff>68579</xdr:colOff>
      <xdr:row>28</xdr:row>
      <xdr:rowOff>49824</xdr:rowOff>
    </xdr:from>
    <xdr:to>
      <xdr:col>1</xdr:col>
      <xdr:colOff>1148579</xdr:colOff>
      <xdr:row>28</xdr:row>
      <xdr:rowOff>265824</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000-000027000000}"/>
            </a:ext>
          </a:extLst>
        </xdr:cNvPr>
        <xdr:cNvSpPr/>
      </xdr:nvSpPr>
      <xdr:spPr>
        <a:xfrm>
          <a:off x="249554" y="5707674"/>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a:t>
          </a:r>
          <a:r>
            <a:rPr lang="es-ES" sz="800" b="1"/>
            <a:t> paper</a:t>
          </a:r>
        </a:p>
      </xdr:txBody>
    </xdr:sp>
    <xdr:clientData/>
  </xdr:twoCellAnchor>
  <xdr:twoCellAnchor editAs="oneCell">
    <xdr:from>
      <xdr:col>2</xdr:col>
      <xdr:colOff>292417</xdr:colOff>
      <xdr:row>28</xdr:row>
      <xdr:rowOff>49824</xdr:rowOff>
    </xdr:from>
    <xdr:to>
      <xdr:col>3</xdr:col>
      <xdr:colOff>156881</xdr:colOff>
      <xdr:row>28</xdr:row>
      <xdr:rowOff>265824</xdr:rowOff>
    </xdr:to>
    <xdr:sp macro="" textlink="">
      <xdr:nvSpPr>
        <xdr:cNvPr id="40" name="Rectángulo: esquinas redondeadas 39">
          <a:hlinkClick xmlns:r="http://schemas.openxmlformats.org/officeDocument/2006/relationships" r:id="rId4"/>
          <a:extLst>
            <a:ext uri="{FF2B5EF4-FFF2-40B4-BE49-F238E27FC236}">
              <a16:creationId xmlns:a16="http://schemas.microsoft.com/office/drawing/2014/main" id="{00000000-0008-0000-0000-000028000000}"/>
            </a:ext>
          </a:extLst>
        </xdr:cNvPr>
        <xdr:cNvSpPr/>
      </xdr:nvSpPr>
      <xdr:spPr>
        <a:xfrm>
          <a:off x="1654492" y="5707674"/>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editAs="oneCell">
    <xdr:from>
      <xdr:col>1</xdr:col>
      <xdr:colOff>68579</xdr:colOff>
      <xdr:row>36</xdr:row>
      <xdr:rowOff>45280</xdr:rowOff>
    </xdr:from>
    <xdr:to>
      <xdr:col>1</xdr:col>
      <xdr:colOff>1148579</xdr:colOff>
      <xdr:row>36</xdr:row>
      <xdr:rowOff>261280</xdr:rowOff>
    </xdr:to>
    <xdr:sp macro="" textlink="">
      <xdr:nvSpPr>
        <xdr:cNvPr id="41" name="Rectángulo: esquinas redondeadas 40">
          <a:hlinkClick xmlns:r="http://schemas.openxmlformats.org/officeDocument/2006/relationships" r:id="rId5"/>
          <a:extLst>
            <a:ext uri="{FF2B5EF4-FFF2-40B4-BE49-F238E27FC236}">
              <a16:creationId xmlns:a16="http://schemas.microsoft.com/office/drawing/2014/main" id="{00000000-0008-0000-0000-000029000000}"/>
            </a:ext>
          </a:extLst>
        </xdr:cNvPr>
        <xdr:cNvSpPr/>
      </xdr:nvSpPr>
      <xdr:spPr>
        <a:xfrm>
          <a:off x="249554" y="7341430"/>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a:t>
          </a:r>
          <a:r>
            <a:rPr lang="es-ES" sz="800" b="1"/>
            <a:t>paper</a:t>
          </a:r>
        </a:p>
      </xdr:txBody>
    </xdr:sp>
    <xdr:clientData/>
  </xdr:twoCellAnchor>
  <xdr:twoCellAnchor editAs="oneCell">
    <xdr:from>
      <xdr:col>2</xdr:col>
      <xdr:colOff>284797</xdr:colOff>
      <xdr:row>36</xdr:row>
      <xdr:rowOff>45280</xdr:rowOff>
    </xdr:from>
    <xdr:to>
      <xdr:col>3</xdr:col>
      <xdr:colOff>149261</xdr:colOff>
      <xdr:row>36</xdr:row>
      <xdr:rowOff>261280</xdr:rowOff>
    </xdr:to>
    <xdr:sp macro="" textlink="">
      <xdr:nvSpPr>
        <xdr:cNvPr id="42" name="Rectángulo: esquinas redondeadas 41">
          <a:hlinkClick xmlns:r="http://schemas.openxmlformats.org/officeDocument/2006/relationships" r:id="rId6"/>
          <a:extLst>
            <a:ext uri="{FF2B5EF4-FFF2-40B4-BE49-F238E27FC236}">
              <a16:creationId xmlns:a16="http://schemas.microsoft.com/office/drawing/2014/main" id="{00000000-0008-0000-0000-00002A000000}"/>
            </a:ext>
          </a:extLst>
        </xdr:cNvPr>
        <xdr:cNvSpPr/>
      </xdr:nvSpPr>
      <xdr:spPr>
        <a:xfrm>
          <a:off x="1646872" y="7341430"/>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editAs="oneCell">
    <xdr:from>
      <xdr:col>1</xdr:col>
      <xdr:colOff>68579</xdr:colOff>
      <xdr:row>46</xdr:row>
      <xdr:rowOff>48065</xdr:rowOff>
    </xdr:from>
    <xdr:to>
      <xdr:col>2</xdr:col>
      <xdr:colOff>3479</xdr:colOff>
      <xdr:row>46</xdr:row>
      <xdr:rowOff>264065</xdr:rowOff>
    </xdr:to>
    <xdr:sp macro="" textlink="">
      <xdr:nvSpPr>
        <xdr:cNvPr id="43" name="Rectángulo: esquinas redondeadas 42">
          <a:hlinkClick xmlns:r="http://schemas.openxmlformats.org/officeDocument/2006/relationships" r:id="rId7"/>
          <a:extLst>
            <a:ext uri="{FF2B5EF4-FFF2-40B4-BE49-F238E27FC236}">
              <a16:creationId xmlns:a16="http://schemas.microsoft.com/office/drawing/2014/main" id="{00000000-0008-0000-0000-00002B000000}"/>
            </a:ext>
          </a:extLst>
        </xdr:cNvPr>
        <xdr:cNvSpPr/>
      </xdr:nvSpPr>
      <xdr:spPr>
        <a:xfrm>
          <a:off x="249554"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Study charcteristics</a:t>
          </a:r>
        </a:p>
      </xdr:txBody>
    </xdr:sp>
    <xdr:clientData/>
  </xdr:twoCellAnchor>
  <xdr:twoCellAnchor editAs="oneCell">
    <xdr:from>
      <xdr:col>2</xdr:col>
      <xdr:colOff>292417</xdr:colOff>
      <xdr:row>46</xdr:row>
      <xdr:rowOff>48065</xdr:rowOff>
    </xdr:from>
    <xdr:to>
      <xdr:col>3</xdr:col>
      <xdr:colOff>227317</xdr:colOff>
      <xdr:row>46</xdr:row>
      <xdr:rowOff>264065</xdr:rowOff>
    </xdr:to>
    <xdr:sp macro="" textlink="">
      <xdr:nvSpPr>
        <xdr:cNvPr id="44" name="Rectángulo: esquinas redondeadas 43">
          <a:hlinkClick xmlns:r="http://schemas.openxmlformats.org/officeDocument/2006/relationships" r:id="rId8"/>
          <a:extLst>
            <a:ext uri="{FF2B5EF4-FFF2-40B4-BE49-F238E27FC236}">
              <a16:creationId xmlns:a16="http://schemas.microsoft.com/office/drawing/2014/main" id="{00000000-0008-0000-0000-00002C000000}"/>
            </a:ext>
          </a:extLst>
        </xdr:cNvPr>
        <xdr:cNvSpPr/>
      </xdr:nvSpPr>
      <xdr:spPr>
        <a:xfrm>
          <a:off x="1654492"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Model characteristics</a:t>
          </a:r>
        </a:p>
      </xdr:txBody>
    </xdr:sp>
    <xdr:clientData/>
  </xdr:twoCellAnchor>
  <xdr:twoCellAnchor editAs="oneCell">
    <xdr:from>
      <xdr:col>3</xdr:col>
      <xdr:colOff>544830</xdr:colOff>
      <xdr:row>46</xdr:row>
      <xdr:rowOff>48065</xdr:rowOff>
    </xdr:from>
    <xdr:to>
      <xdr:col>4</xdr:col>
      <xdr:colOff>407095</xdr:colOff>
      <xdr:row>46</xdr:row>
      <xdr:rowOff>264065</xdr:rowOff>
    </xdr:to>
    <xdr:sp macro="" textlink="">
      <xdr:nvSpPr>
        <xdr:cNvPr id="45" name="Rectángulo: esquinas redondeadas 44">
          <a:hlinkClick xmlns:r="http://schemas.openxmlformats.org/officeDocument/2006/relationships" r:id="rId9"/>
          <a:extLst>
            <a:ext uri="{FF2B5EF4-FFF2-40B4-BE49-F238E27FC236}">
              <a16:creationId xmlns:a16="http://schemas.microsoft.com/office/drawing/2014/main" id="{00000000-0008-0000-0000-00002D000000}"/>
            </a:ext>
          </a:extLst>
        </xdr:cNvPr>
        <xdr:cNvSpPr/>
      </xdr:nvSpPr>
      <xdr:spPr>
        <a:xfrm>
          <a:off x="3088005" y="9363515"/>
          <a:ext cx="10419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PROBAST summary</a:t>
          </a:r>
        </a:p>
      </xdr:txBody>
    </xdr:sp>
    <xdr:clientData/>
  </xdr:twoCellAnchor>
  <xdr:twoCellAnchor>
    <xdr:from>
      <xdr:col>10</xdr:col>
      <xdr:colOff>144780</xdr:colOff>
      <xdr:row>3</xdr:row>
      <xdr:rowOff>121920</xdr:rowOff>
    </xdr:from>
    <xdr:to>
      <xdr:col>11</xdr:col>
      <xdr:colOff>1080744</xdr:colOff>
      <xdr:row>6</xdr:row>
      <xdr:rowOff>67880</xdr:rowOff>
    </xdr:to>
    <xdr:pic>
      <xdr:nvPicPr>
        <xdr:cNvPr id="46" name="Imagen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803130" y="864870"/>
          <a:ext cx="2117064" cy="631760"/>
        </a:xfrm>
        <a:prstGeom prst="rect">
          <a:avLst/>
        </a:prstGeom>
      </xdr:spPr>
    </xdr:pic>
    <xdr:clientData/>
  </xdr:twoCellAnchor>
  <xdr:twoCellAnchor editAs="oneCell">
    <xdr:from>
      <xdr:col>1</xdr:col>
      <xdr:colOff>68580</xdr:colOff>
      <xdr:row>22</xdr:row>
      <xdr:rowOff>45720</xdr:rowOff>
    </xdr:from>
    <xdr:to>
      <xdr:col>1</xdr:col>
      <xdr:colOff>1148580</xdr:colOff>
      <xdr:row>22</xdr:row>
      <xdr:rowOff>261720</xdr:rowOff>
    </xdr:to>
    <xdr:sp macro="" textlink="">
      <xdr:nvSpPr>
        <xdr:cNvPr id="47" name="Rectángulo: esquinas redondeadas 46">
          <a:hlinkClick xmlns:r="http://schemas.openxmlformats.org/officeDocument/2006/relationships" r:id="rId11"/>
          <a:extLst>
            <a:ext uri="{FF2B5EF4-FFF2-40B4-BE49-F238E27FC236}">
              <a16:creationId xmlns:a16="http://schemas.microsoft.com/office/drawing/2014/main" id="{00000000-0008-0000-0000-00002F000000}"/>
            </a:ext>
          </a:extLst>
        </xdr:cNvPr>
        <xdr:cNvSpPr/>
      </xdr:nvSpPr>
      <xdr:spPr>
        <a:xfrm>
          <a:off x="249555" y="4446270"/>
          <a:ext cx="1080000" cy="216000"/>
        </a:xfrm>
        <a:prstGeom prst="roundRect">
          <a:avLst/>
        </a:prstGeom>
        <a:solidFill>
          <a:schemeClr val="tx1"/>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Summary</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0</xdr:colOff>
          <xdr:row>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0</xdr:colOff>
          <xdr:row>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0</xdr:colOff>
          <xdr:row>9</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0</xdr:colOff>
          <xdr:row>10</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0</xdr:colOff>
          <xdr:row>11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0</xdr:colOff>
          <xdr:row>12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0</xdr:colOff>
          <xdr:row>13</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0</xdr:colOff>
          <xdr:row>14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0</xdr:colOff>
          <xdr:row>15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0</xdr:colOff>
          <xdr:row>16</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0</xdr:colOff>
          <xdr:row>17</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0</xdr:colOff>
          <xdr:row>18</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0</xdr:colOff>
          <xdr:row>19</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0</xdr:colOff>
          <xdr:row>20</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0</xdr:colOff>
          <xdr:row>21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0</xdr:colOff>
          <xdr:row>22</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0</xdr:colOff>
          <xdr:row>23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0</xdr:colOff>
          <xdr:row>24</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0</xdr:colOff>
          <xdr:row>25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0</xdr:colOff>
          <xdr:row>26</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0</xdr:colOff>
          <xdr:row>27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0</xdr:colOff>
          <xdr:row>28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0</xdr:colOff>
          <xdr:row>29</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0</xdr:colOff>
          <xdr:row>30</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0</xdr:colOff>
          <xdr:row>31</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0</xdr:colOff>
          <xdr:row>33</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0</xdr:colOff>
          <xdr:row>34</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0</xdr:colOff>
          <xdr:row>35</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0</xdr:colOff>
          <xdr:row>36</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647700</xdr:colOff>
      <xdr:row>0</xdr:row>
      <xdr:rowOff>0</xdr:rowOff>
    </xdr:from>
    <xdr:to>
      <xdr:col>8</xdr:col>
      <xdr:colOff>624204</xdr:colOff>
      <xdr:row>2</xdr:row>
      <xdr:rowOff>28875</xdr:rowOff>
    </xdr:to>
    <xdr:pic>
      <xdr:nvPicPr>
        <xdr:cNvPr id="35" name="Imagen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29650" y="0"/>
          <a:ext cx="1643379" cy="648000"/>
        </a:xfrm>
        <a:prstGeom prst="rect">
          <a:avLst/>
        </a:prstGeom>
      </xdr:spPr>
    </xdr:pic>
    <xdr:clientData/>
  </xdr:twoCellAnchor>
  <xdr:twoCellAnchor editAs="oneCell">
    <xdr:from>
      <xdr:col>8</xdr:col>
      <xdr:colOff>876297</xdr:colOff>
      <xdr:row>0</xdr:row>
      <xdr:rowOff>1818</xdr:rowOff>
    </xdr:from>
    <xdr:to>
      <xdr:col>10</xdr:col>
      <xdr:colOff>528291</xdr:colOff>
      <xdr:row>2</xdr:row>
      <xdr:rowOff>27056</xdr:rowOff>
    </xdr:to>
    <xdr:pic>
      <xdr:nvPicPr>
        <xdr:cNvPr id="36" name="Imagen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86997" y="1818"/>
          <a:ext cx="2109444" cy="644363"/>
        </a:xfrm>
        <a:prstGeom prst="rect">
          <a:avLst/>
        </a:prstGeom>
      </xdr:spPr>
    </xdr:pic>
    <xdr:clientData/>
  </xdr:twoCellAnchor>
  <xdr:twoCellAnchor>
    <xdr:from>
      <xdr:col>0</xdr:col>
      <xdr:colOff>142875</xdr:colOff>
      <xdr:row>0</xdr:row>
      <xdr:rowOff>104775</xdr:rowOff>
    </xdr:from>
    <xdr:to>
      <xdr:col>2</xdr:col>
      <xdr:colOff>374025</xdr:colOff>
      <xdr:row>1</xdr:row>
      <xdr:rowOff>82650</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100-000027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2</xdr:col>
      <xdr:colOff>485775</xdr:colOff>
      <xdr:row>0</xdr:row>
      <xdr:rowOff>104775</xdr:rowOff>
    </xdr:from>
    <xdr:to>
      <xdr:col>3</xdr:col>
      <xdr:colOff>812175</xdr:colOff>
      <xdr:row>1</xdr:row>
      <xdr:rowOff>82650</xdr:rowOff>
    </xdr:to>
    <xdr:sp macro="" textlink="">
      <xdr:nvSpPr>
        <xdr:cNvPr id="41" name="Rectángulo: esquinas redondeadas 40">
          <a:hlinkClick xmlns:r="http://schemas.openxmlformats.org/officeDocument/2006/relationships" r:id="rId4"/>
          <a:extLst>
            <a:ext uri="{FF2B5EF4-FFF2-40B4-BE49-F238E27FC236}">
              <a16:creationId xmlns:a16="http://schemas.microsoft.com/office/drawing/2014/main" id="{00000000-0008-0000-0100-000029000000}"/>
            </a:ext>
          </a:extLst>
        </xdr:cNvPr>
        <xdr:cNvSpPr/>
      </xdr:nvSpPr>
      <xdr:spPr>
        <a:xfrm>
          <a:off x="119062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xdr:from>
      <xdr:col>3</xdr:col>
      <xdr:colOff>923925</xdr:colOff>
      <xdr:row>0</xdr:row>
      <xdr:rowOff>104775</xdr:rowOff>
    </xdr:from>
    <xdr:to>
      <xdr:col>4</xdr:col>
      <xdr:colOff>431175</xdr:colOff>
      <xdr:row>1</xdr:row>
      <xdr:rowOff>82650</xdr:rowOff>
    </xdr:to>
    <xdr:sp macro="" textlink="">
      <xdr:nvSpPr>
        <xdr:cNvPr id="42" name="Rectángulo: esquinas redondeadas 41">
          <a:hlinkClick xmlns:r="http://schemas.openxmlformats.org/officeDocument/2006/relationships" r:id="rId5"/>
          <a:extLst>
            <a:ext uri="{FF2B5EF4-FFF2-40B4-BE49-F238E27FC236}">
              <a16:creationId xmlns:a16="http://schemas.microsoft.com/office/drawing/2014/main" id="{00000000-0008-0000-0100-00002A000000}"/>
            </a:ext>
          </a:extLst>
        </xdr:cNvPr>
        <xdr:cNvSpPr/>
      </xdr:nvSpPr>
      <xdr:spPr>
        <a:xfrm>
          <a:off x="223837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xdr:from>
      <xdr:col>4</xdr:col>
      <xdr:colOff>552450</xdr:colOff>
      <xdr:row>0</xdr:row>
      <xdr:rowOff>104775</xdr:rowOff>
    </xdr:from>
    <xdr:to>
      <xdr:col>5</xdr:col>
      <xdr:colOff>533752</xdr:colOff>
      <xdr:row>1</xdr:row>
      <xdr:rowOff>82650</xdr:rowOff>
    </xdr:to>
    <xdr:sp macro="" textlink="">
      <xdr:nvSpPr>
        <xdr:cNvPr id="37" name="Rectángulo: esquinas redondeadas 36">
          <a:hlinkClick xmlns:r="http://schemas.openxmlformats.org/officeDocument/2006/relationships" r:id="rId6"/>
          <a:extLst>
            <a:ext uri="{FF2B5EF4-FFF2-40B4-BE49-F238E27FC236}">
              <a16:creationId xmlns:a16="http://schemas.microsoft.com/office/drawing/2014/main" id="{00000000-0008-0000-0100-000025000000}"/>
            </a:ext>
          </a:extLst>
        </xdr:cNvPr>
        <xdr:cNvSpPr/>
      </xdr:nvSpPr>
      <xdr:spPr>
        <a:xfrm>
          <a:off x="3295650" y="104775"/>
          <a:ext cx="933802"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1</a:t>
          </a:r>
          <a:endParaRPr lang="es-ES" sz="1100" b="1"/>
        </a:p>
      </xdr:txBody>
    </xdr:sp>
    <xdr:clientData/>
  </xdr:twoCellAnchor>
  <xdr:twoCellAnchor>
    <xdr:from>
      <xdr:col>5</xdr:col>
      <xdr:colOff>612164</xdr:colOff>
      <xdr:row>0</xdr:row>
      <xdr:rowOff>104775</xdr:rowOff>
    </xdr:from>
    <xdr:to>
      <xdr:col>5</xdr:col>
      <xdr:colOff>1548164</xdr:colOff>
      <xdr:row>1</xdr:row>
      <xdr:rowOff>82650</xdr:rowOff>
    </xdr:to>
    <xdr:sp macro="" textlink="">
      <xdr:nvSpPr>
        <xdr:cNvPr id="38" name="Rectángulo: esquinas redondeadas 37">
          <a:hlinkClick xmlns:r="http://schemas.openxmlformats.org/officeDocument/2006/relationships" r:id="rId7"/>
          <a:extLst>
            <a:ext uri="{FF2B5EF4-FFF2-40B4-BE49-F238E27FC236}">
              <a16:creationId xmlns:a16="http://schemas.microsoft.com/office/drawing/2014/main" id="{00000000-0008-0000-0100-000026000000}"/>
            </a:ext>
          </a:extLst>
        </xdr:cNvPr>
        <xdr:cNvSpPr/>
      </xdr:nvSpPr>
      <xdr:spPr>
        <a:xfrm>
          <a:off x="4307864"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2</a:t>
          </a:r>
          <a:endParaRPr lang="es-ES" sz="1100" b="1"/>
        </a:p>
      </xdr:txBody>
    </xdr:sp>
    <xdr:clientData/>
  </xdr:twoCellAnchor>
  <xdr:twoCellAnchor>
    <xdr:from>
      <xdr:col>5</xdr:col>
      <xdr:colOff>1626577</xdr:colOff>
      <xdr:row>0</xdr:row>
      <xdr:rowOff>104775</xdr:rowOff>
    </xdr:from>
    <xdr:to>
      <xdr:col>5</xdr:col>
      <xdr:colOff>2562577</xdr:colOff>
      <xdr:row>1</xdr:row>
      <xdr:rowOff>82650</xdr:rowOff>
    </xdr:to>
    <xdr:sp macro="" textlink="">
      <xdr:nvSpPr>
        <xdr:cNvPr id="40" name="Rectángulo: esquinas redondeadas 39">
          <a:hlinkClick xmlns:r="http://schemas.openxmlformats.org/officeDocument/2006/relationships" r:id="rId8"/>
          <a:extLst>
            <a:ext uri="{FF2B5EF4-FFF2-40B4-BE49-F238E27FC236}">
              <a16:creationId xmlns:a16="http://schemas.microsoft.com/office/drawing/2014/main" id="{00000000-0008-0000-0100-000028000000}"/>
            </a:ext>
          </a:extLst>
        </xdr:cNvPr>
        <xdr:cNvSpPr/>
      </xdr:nvSpPr>
      <xdr:spPr>
        <a:xfrm>
          <a:off x="5322277"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3</a:t>
          </a:r>
          <a:endParaRPr lang="es-E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3</xdr:col>
      <xdr:colOff>88275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24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3</xdr:col>
      <xdr:colOff>200025</xdr:colOff>
      <xdr:row>0</xdr:row>
      <xdr:rowOff>104775</xdr:rowOff>
    </xdr:from>
    <xdr:to>
      <xdr:col>3</xdr:col>
      <xdr:colOff>1136025</xdr:colOff>
      <xdr:row>1</xdr:row>
      <xdr:rowOff>130275</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2001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104775</xdr:rowOff>
    </xdr:from>
    <xdr:to>
      <xdr:col>0</xdr:col>
      <xdr:colOff>1069350</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333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0</xdr:col>
      <xdr:colOff>1181100</xdr:colOff>
      <xdr:row>0</xdr:row>
      <xdr:rowOff>104775</xdr:rowOff>
    </xdr:from>
    <xdr:to>
      <xdr:col>0</xdr:col>
      <xdr:colOff>2117100</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11811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507375</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412125</xdr:colOff>
      <xdr:row>1</xdr:row>
      <xdr:rowOff>130275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2</xdr:row>
      <xdr:rowOff>142875</xdr:rowOff>
    </xdr:from>
    <xdr:to>
      <xdr:col>20</xdr:col>
      <xdr:colOff>1</xdr:colOff>
      <xdr:row>27</xdr:row>
      <xdr:rowOff>161925</xdr:rowOff>
    </xdr:to>
    <xdr:grpSp>
      <xdr:nvGrpSpPr>
        <xdr:cNvPr id="2" name="Grupo 1">
          <a:extLst>
            <a:ext uri="{FF2B5EF4-FFF2-40B4-BE49-F238E27FC236}">
              <a16:creationId xmlns:a16="http://schemas.microsoft.com/office/drawing/2014/main" id="{00000000-0008-0000-0600-000002000000}"/>
            </a:ext>
          </a:extLst>
        </xdr:cNvPr>
        <xdr:cNvGrpSpPr/>
      </xdr:nvGrpSpPr>
      <xdr:grpSpPr>
        <a:xfrm>
          <a:off x="7454900" y="498475"/>
          <a:ext cx="5511801" cy="5543550"/>
          <a:chOff x="6762750" y="552450"/>
          <a:chExt cx="5334001" cy="5524500"/>
        </a:xfrm>
      </xdr:grpSpPr>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6762750" y="552450"/>
          <a:ext cx="5334000" cy="28575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00000000-0008-0000-0600-000004000000}"/>
              </a:ext>
            </a:extLst>
          </xdr:cNvPr>
          <xdr:cNvGraphicFramePr>
            <a:graphicFrameLocks/>
          </xdr:cNvGraphicFramePr>
        </xdr:nvGraphicFramePr>
        <xdr:xfrm>
          <a:off x="6762751" y="3600450"/>
          <a:ext cx="5334000" cy="24765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xdr:col>
      <xdr:colOff>0</xdr:colOff>
      <xdr:row>0</xdr:row>
      <xdr:rowOff>0</xdr:rowOff>
    </xdr:from>
    <xdr:to>
      <xdr:col>2</xdr:col>
      <xdr:colOff>0</xdr:colOff>
      <xdr:row>1</xdr:row>
      <xdr:rowOff>25500</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00000000-0008-0000-0600-000006000000}"/>
            </a:ext>
          </a:extLst>
        </xdr:cNvPr>
        <xdr:cNvSpPr/>
      </xdr:nvSpPr>
      <xdr:spPr>
        <a:xfrm>
          <a:off x="1552575" y="0"/>
          <a:ext cx="1440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Resumen</a:t>
          </a:r>
        </a:p>
      </xdr:txBody>
    </xdr:sp>
    <xdr:clientData/>
  </xdr:twoCellAnchor>
  <xdr:twoCellAnchor>
    <xdr:from>
      <xdr:col>1</xdr:col>
      <xdr:colOff>142875</xdr:colOff>
      <xdr:row>0</xdr:row>
      <xdr:rowOff>104775</xdr:rowOff>
    </xdr:from>
    <xdr:to>
      <xdr:col>1</xdr:col>
      <xdr:colOff>1078875</xdr:colOff>
      <xdr:row>1</xdr:row>
      <xdr:rowOff>130275</xdr:rowOff>
    </xdr:to>
    <xdr:sp macro="" textlink="">
      <xdr:nvSpPr>
        <xdr:cNvPr id="9" name="Rectángulo: esquinas redondeadas 8">
          <a:hlinkClick xmlns:r="http://schemas.openxmlformats.org/officeDocument/2006/relationships" r:id="rId4"/>
          <a:extLst>
            <a:ext uri="{FF2B5EF4-FFF2-40B4-BE49-F238E27FC236}">
              <a16:creationId xmlns:a16="http://schemas.microsoft.com/office/drawing/2014/main" id="{00000000-0008-0000-0600-000009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3</xdr:col>
      <xdr:colOff>412125</xdr:colOff>
      <xdr:row>1</xdr:row>
      <xdr:rowOff>130275</xdr:rowOff>
    </xdr:to>
    <xdr:sp macro="" textlink="">
      <xdr:nvSpPr>
        <xdr:cNvPr id="10" name="Rectángulo: esquinas redondeadas 9">
          <a:hlinkClick xmlns:r="http://schemas.openxmlformats.org/officeDocument/2006/relationships" r:id="rId5"/>
          <a:extLst>
            <a:ext uri="{FF2B5EF4-FFF2-40B4-BE49-F238E27FC236}">
              <a16:creationId xmlns:a16="http://schemas.microsoft.com/office/drawing/2014/main" id="{00000000-0008-0000-0600-00000A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1"/>
  </sheetPr>
  <dimension ref="A1:L60"/>
  <sheetViews>
    <sheetView zoomScaleNormal="100" workbookViewId="0">
      <selection activeCell="A2" sqref="A2:L2"/>
    </sheetView>
  </sheetViews>
  <sheetFormatPr defaultColWidth="11.44140625" defaultRowHeight="14.4" x14ac:dyDescent="0.3"/>
  <cols>
    <col min="1" max="1" width="2.77734375" style="3" customWidth="1"/>
    <col min="2" max="7" width="17.77734375" style="3" customWidth="1"/>
    <col min="8" max="8" width="0.44140625" style="3" customWidth="1"/>
    <col min="9" max="12" width="17.77734375" style="3" customWidth="1"/>
    <col min="13" max="16384" width="11.44140625" style="3"/>
  </cols>
  <sheetData>
    <row r="1" spans="1:12" ht="14.55" customHeight="1" x14ac:dyDescent="0.3">
      <c r="A1" s="238"/>
      <c r="B1" s="239"/>
      <c r="C1" s="239"/>
      <c r="D1" s="239"/>
      <c r="E1" s="239"/>
      <c r="F1" s="239"/>
      <c r="G1" s="239"/>
      <c r="H1" s="239"/>
      <c r="I1" s="239"/>
      <c r="J1" s="239"/>
      <c r="K1" s="239"/>
      <c r="L1" s="240"/>
    </row>
    <row r="2" spans="1:12" ht="30" customHeight="1" x14ac:dyDescent="0.3">
      <c r="A2" s="235" t="s">
        <v>0</v>
      </c>
      <c r="B2" s="236"/>
      <c r="C2" s="236"/>
      <c r="D2" s="236"/>
      <c r="E2" s="236"/>
      <c r="F2" s="236"/>
      <c r="G2" s="236"/>
      <c r="H2" s="236"/>
      <c r="I2" s="236"/>
      <c r="J2" s="236"/>
      <c r="K2" s="236"/>
      <c r="L2" s="237"/>
    </row>
    <row r="3" spans="1:12" ht="14.55" customHeight="1" thickBot="1" x14ac:dyDescent="0.35">
      <c r="A3" s="12"/>
      <c r="B3" s="193"/>
      <c r="C3" s="193"/>
      <c r="D3" s="10"/>
      <c r="E3" s="10"/>
      <c r="F3" s="10"/>
      <c r="G3" s="10"/>
      <c r="I3" s="10"/>
      <c r="J3" s="10"/>
      <c r="K3" s="10"/>
      <c r="L3" s="10"/>
    </row>
    <row r="4" spans="1:12" ht="24" customHeight="1" x14ac:dyDescent="0.3">
      <c r="A4" s="194"/>
      <c r="B4" s="241" t="s">
        <v>1</v>
      </c>
      <c r="C4" s="242"/>
      <c r="D4" s="242"/>
      <c r="E4" s="242"/>
      <c r="F4" s="242"/>
      <c r="G4" s="243"/>
      <c r="H4" s="195"/>
      <c r="I4" s="244"/>
      <c r="J4" s="245"/>
      <c r="K4" s="250"/>
      <c r="L4" s="251"/>
    </row>
    <row r="5" spans="1:12" ht="15" customHeight="1" x14ac:dyDescent="0.35">
      <c r="A5" s="196"/>
      <c r="B5" s="256" t="s">
        <v>2</v>
      </c>
      <c r="C5" s="257"/>
      <c r="D5" s="257"/>
      <c r="E5" s="257"/>
      <c r="F5" s="257"/>
      <c r="G5" s="258"/>
      <c r="H5" s="195"/>
      <c r="I5" s="246"/>
      <c r="J5" s="247"/>
      <c r="K5" s="252"/>
      <c r="L5" s="253"/>
    </row>
    <row r="6" spans="1:12" ht="15" customHeight="1" x14ac:dyDescent="0.3">
      <c r="A6" s="194"/>
      <c r="B6" s="256"/>
      <c r="C6" s="257"/>
      <c r="D6" s="257"/>
      <c r="E6" s="257"/>
      <c r="F6" s="257"/>
      <c r="G6" s="258"/>
      <c r="H6" s="195"/>
      <c r="I6" s="246"/>
      <c r="J6" s="247"/>
      <c r="K6" s="252"/>
      <c r="L6" s="253"/>
    </row>
    <row r="7" spans="1:12" ht="15" customHeight="1" thickBot="1" x14ac:dyDescent="0.35">
      <c r="A7" s="197"/>
      <c r="B7" s="256"/>
      <c r="C7" s="257"/>
      <c r="D7" s="257"/>
      <c r="E7" s="257"/>
      <c r="F7" s="257"/>
      <c r="G7" s="258"/>
      <c r="H7" s="195"/>
      <c r="I7" s="248"/>
      <c r="J7" s="249"/>
      <c r="K7" s="254"/>
      <c r="L7" s="255"/>
    </row>
    <row r="8" spans="1:12" ht="15" customHeight="1" thickBot="1" x14ac:dyDescent="0.35">
      <c r="A8" s="198"/>
      <c r="B8" s="259"/>
      <c r="C8" s="260"/>
      <c r="D8" s="260"/>
      <c r="E8" s="260"/>
      <c r="F8" s="260"/>
      <c r="G8" s="261"/>
      <c r="H8" s="195"/>
      <c r="I8" s="262" t="s">
        <v>3</v>
      </c>
      <c r="J8" s="263"/>
      <c r="K8" s="263"/>
      <c r="L8" s="264"/>
    </row>
    <row r="9" spans="1:12" ht="3" customHeight="1" thickBot="1" x14ac:dyDescent="0.35">
      <c r="A9" s="15"/>
      <c r="B9" s="11"/>
      <c r="C9" s="199"/>
      <c r="D9" s="11"/>
      <c r="E9" s="11"/>
      <c r="F9" s="11"/>
      <c r="G9" s="11"/>
      <c r="H9" s="200"/>
      <c r="I9" s="262"/>
      <c r="J9" s="263"/>
      <c r="K9" s="263"/>
      <c r="L9" s="264"/>
    </row>
    <row r="10" spans="1:12" ht="24" customHeight="1" x14ac:dyDescent="0.3">
      <c r="A10" s="15"/>
      <c r="B10" s="241" t="s">
        <v>4</v>
      </c>
      <c r="C10" s="242"/>
      <c r="D10" s="242"/>
      <c r="E10" s="242"/>
      <c r="F10" s="242"/>
      <c r="G10" s="243"/>
      <c r="H10" s="197"/>
      <c r="I10" s="262"/>
      <c r="J10" s="263"/>
      <c r="K10" s="263"/>
      <c r="L10" s="264"/>
    </row>
    <row r="11" spans="1:12" ht="15" customHeight="1" x14ac:dyDescent="0.3">
      <c r="A11" s="198"/>
      <c r="B11" s="268" t="s">
        <v>316</v>
      </c>
      <c r="C11" s="269"/>
      <c r="D11" s="269"/>
      <c r="E11" s="269"/>
      <c r="F11" s="269"/>
      <c r="G11" s="270"/>
      <c r="H11" s="201"/>
      <c r="I11" s="262"/>
      <c r="J11" s="263"/>
      <c r="K11" s="263"/>
      <c r="L11" s="264"/>
    </row>
    <row r="12" spans="1:12" ht="15" customHeight="1" x14ac:dyDescent="0.3">
      <c r="A12" s="198"/>
      <c r="B12" s="268"/>
      <c r="C12" s="269"/>
      <c r="D12" s="269"/>
      <c r="E12" s="269"/>
      <c r="F12" s="269"/>
      <c r="G12" s="270"/>
      <c r="H12" s="195"/>
      <c r="I12" s="262"/>
      <c r="J12" s="263"/>
      <c r="K12" s="263"/>
      <c r="L12" s="264"/>
    </row>
    <row r="13" spans="1:12" ht="15" customHeight="1" x14ac:dyDescent="0.3">
      <c r="A13" s="197"/>
      <c r="B13" s="268"/>
      <c r="C13" s="269"/>
      <c r="D13" s="269"/>
      <c r="E13" s="269"/>
      <c r="F13" s="269"/>
      <c r="G13" s="270"/>
      <c r="H13" s="195"/>
      <c r="I13" s="262"/>
      <c r="J13" s="263"/>
      <c r="K13" s="263"/>
      <c r="L13" s="264"/>
    </row>
    <row r="14" spans="1:12" ht="15" customHeight="1" x14ac:dyDescent="0.3">
      <c r="A14" s="198"/>
      <c r="B14" s="268"/>
      <c r="C14" s="269"/>
      <c r="D14" s="269"/>
      <c r="E14" s="269"/>
      <c r="F14" s="269"/>
      <c r="G14" s="270"/>
      <c r="H14" s="201"/>
      <c r="I14" s="262"/>
      <c r="J14" s="263"/>
      <c r="K14" s="263"/>
      <c r="L14" s="264"/>
    </row>
    <row r="15" spans="1:12" ht="15" customHeight="1" x14ac:dyDescent="0.3">
      <c r="A15" s="198"/>
      <c r="B15" s="268"/>
      <c r="C15" s="269"/>
      <c r="D15" s="269"/>
      <c r="E15" s="269"/>
      <c r="F15" s="269"/>
      <c r="G15" s="270"/>
      <c r="H15" s="202"/>
      <c r="I15" s="262"/>
      <c r="J15" s="263"/>
      <c r="K15" s="263"/>
      <c r="L15" s="264"/>
    </row>
    <row r="16" spans="1:12" ht="15" customHeight="1" x14ac:dyDescent="0.3">
      <c r="A16" s="198"/>
      <c r="B16" s="268"/>
      <c r="C16" s="269"/>
      <c r="D16" s="269"/>
      <c r="E16" s="269"/>
      <c r="F16" s="269"/>
      <c r="G16" s="270"/>
      <c r="H16" s="195"/>
      <c r="I16" s="262"/>
      <c r="J16" s="263"/>
      <c r="K16" s="263"/>
      <c r="L16" s="264"/>
    </row>
    <row r="17" spans="1:12" ht="15" customHeight="1" thickBot="1" x14ac:dyDescent="0.35">
      <c r="A17" s="197"/>
      <c r="B17" s="271"/>
      <c r="C17" s="272"/>
      <c r="D17" s="272"/>
      <c r="E17" s="272"/>
      <c r="F17" s="272"/>
      <c r="G17" s="273"/>
      <c r="H17" s="195"/>
      <c r="I17" s="265"/>
      <c r="J17" s="266"/>
      <c r="K17" s="266"/>
      <c r="L17" s="267"/>
    </row>
    <row r="18" spans="1:12" ht="3" customHeight="1" thickBot="1" x14ac:dyDescent="0.35">
      <c r="B18" s="203"/>
      <c r="C18" s="204"/>
      <c r="D18" s="203"/>
      <c r="E18" s="203"/>
      <c r="F18" s="203"/>
      <c r="G18" s="203"/>
      <c r="H18" s="10"/>
      <c r="I18" s="203"/>
      <c r="J18" s="203"/>
      <c r="K18" s="203"/>
      <c r="L18" s="203"/>
    </row>
    <row r="19" spans="1:12" ht="24" customHeight="1" x14ac:dyDescent="0.3">
      <c r="B19" s="220" t="s">
        <v>5</v>
      </c>
      <c r="C19" s="221"/>
      <c r="D19" s="221"/>
      <c r="E19" s="221"/>
      <c r="F19" s="221"/>
      <c r="G19" s="221"/>
      <c r="H19" s="221"/>
      <c r="I19" s="221"/>
      <c r="J19" s="221"/>
      <c r="K19" s="221"/>
      <c r="L19" s="222"/>
    </row>
    <row r="20" spans="1:12" ht="15" customHeight="1" x14ac:dyDescent="0.3">
      <c r="A20" s="197"/>
      <c r="B20" s="211" t="s">
        <v>6</v>
      </c>
      <c r="C20" s="223"/>
      <c r="D20" s="223"/>
      <c r="E20" s="223"/>
      <c r="F20" s="223"/>
      <c r="G20" s="223"/>
      <c r="H20" s="223"/>
      <c r="I20" s="223"/>
      <c r="J20" s="223"/>
      <c r="K20" s="223"/>
      <c r="L20" s="224"/>
    </row>
    <row r="21" spans="1:12" ht="15" customHeight="1" x14ac:dyDescent="0.3">
      <c r="A21" s="197"/>
      <c r="B21" s="225"/>
      <c r="C21" s="223"/>
      <c r="D21" s="223"/>
      <c r="E21" s="223"/>
      <c r="F21" s="223"/>
      <c r="G21" s="223"/>
      <c r="H21" s="223"/>
      <c r="I21" s="223"/>
      <c r="J21" s="223"/>
      <c r="K21" s="223"/>
      <c r="L21" s="224"/>
    </row>
    <row r="22" spans="1:12" ht="15" customHeight="1" x14ac:dyDescent="0.3">
      <c r="A22" s="197"/>
      <c r="B22" s="225"/>
      <c r="C22" s="223"/>
      <c r="D22" s="223"/>
      <c r="E22" s="223"/>
      <c r="F22" s="223"/>
      <c r="G22" s="223"/>
      <c r="H22" s="223"/>
      <c r="I22" s="223"/>
      <c r="J22" s="223"/>
      <c r="K22" s="223"/>
      <c r="L22" s="224"/>
    </row>
    <row r="23" spans="1:12" ht="24" customHeight="1" x14ac:dyDescent="0.3">
      <c r="A23" s="194"/>
      <c r="B23" s="226"/>
      <c r="C23" s="227"/>
      <c r="D23" s="227"/>
      <c r="E23" s="227"/>
      <c r="F23" s="227"/>
      <c r="G23" s="227"/>
      <c r="H23" s="227"/>
      <c r="I23" s="227"/>
      <c r="J23" s="227"/>
      <c r="K23" s="227"/>
      <c r="L23" s="228"/>
    </row>
    <row r="24" spans="1:12" ht="15" customHeight="1" x14ac:dyDescent="0.3">
      <c r="A24" s="194"/>
      <c r="B24" s="229" t="s">
        <v>7</v>
      </c>
      <c r="C24" s="230"/>
      <c r="D24" s="230"/>
      <c r="E24" s="230"/>
      <c r="F24" s="230"/>
      <c r="G24" s="230"/>
      <c r="H24" s="230"/>
      <c r="I24" s="230"/>
      <c r="J24" s="230"/>
      <c r="K24" s="230"/>
      <c r="L24" s="231"/>
    </row>
    <row r="25" spans="1:12" ht="15" customHeight="1" x14ac:dyDescent="0.3">
      <c r="A25" s="194"/>
      <c r="B25" s="229"/>
      <c r="C25" s="230"/>
      <c r="D25" s="230"/>
      <c r="E25" s="230"/>
      <c r="F25" s="230"/>
      <c r="G25" s="230"/>
      <c r="H25" s="230"/>
      <c r="I25" s="230"/>
      <c r="J25" s="230"/>
      <c r="K25" s="230"/>
      <c r="L25" s="231"/>
    </row>
    <row r="26" spans="1:12" ht="15" customHeight="1" x14ac:dyDescent="0.3">
      <c r="A26" s="194"/>
      <c r="B26" s="229"/>
      <c r="C26" s="230"/>
      <c r="D26" s="230"/>
      <c r="E26" s="230"/>
      <c r="F26" s="230"/>
      <c r="G26" s="230"/>
      <c r="H26" s="230"/>
      <c r="I26" s="230"/>
      <c r="J26" s="230"/>
      <c r="K26" s="230"/>
      <c r="L26" s="231"/>
    </row>
    <row r="27" spans="1:12" ht="15" customHeight="1" x14ac:dyDescent="0.3">
      <c r="A27" s="194"/>
      <c r="B27" s="229"/>
      <c r="C27" s="230"/>
      <c r="D27" s="230"/>
      <c r="E27" s="230"/>
      <c r="F27" s="230"/>
      <c r="G27" s="230"/>
      <c r="H27" s="230"/>
      <c r="I27" s="230"/>
      <c r="J27" s="230"/>
      <c r="K27" s="230"/>
      <c r="L27" s="231"/>
    </row>
    <row r="28" spans="1:12" ht="15" customHeight="1" x14ac:dyDescent="0.3">
      <c r="A28" s="194"/>
      <c r="B28" s="229"/>
      <c r="C28" s="230"/>
      <c r="D28" s="230"/>
      <c r="E28" s="230"/>
      <c r="F28" s="230"/>
      <c r="G28" s="230"/>
      <c r="H28" s="230"/>
      <c r="I28" s="230"/>
      <c r="J28" s="230"/>
      <c r="K28" s="230"/>
      <c r="L28" s="231"/>
    </row>
    <row r="29" spans="1:12" ht="24" customHeight="1" x14ac:dyDescent="0.3">
      <c r="A29" s="194"/>
      <c r="B29" s="232"/>
      <c r="C29" s="233"/>
      <c r="D29" s="233"/>
      <c r="E29" s="233"/>
      <c r="F29" s="233"/>
      <c r="G29" s="233"/>
      <c r="H29" s="233"/>
      <c r="I29" s="233"/>
      <c r="J29" s="233"/>
      <c r="K29" s="233"/>
      <c r="L29" s="234"/>
    </row>
    <row r="30" spans="1:12" ht="15" customHeight="1" x14ac:dyDescent="0.3">
      <c r="A30" s="194"/>
      <c r="B30" s="211" t="s">
        <v>8</v>
      </c>
      <c r="C30" s="212"/>
      <c r="D30" s="212"/>
      <c r="E30" s="212"/>
      <c r="F30" s="212"/>
      <c r="G30" s="212"/>
      <c r="H30" s="212"/>
      <c r="I30" s="212"/>
      <c r="J30" s="212"/>
      <c r="K30" s="212"/>
      <c r="L30" s="213"/>
    </row>
    <row r="31" spans="1:12" ht="15" customHeight="1" x14ac:dyDescent="0.3">
      <c r="A31" s="194"/>
      <c r="B31" s="211"/>
      <c r="C31" s="212"/>
      <c r="D31" s="212"/>
      <c r="E31" s="212"/>
      <c r="F31" s="212"/>
      <c r="G31" s="212"/>
      <c r="H31" s="212"/>
      <c r="I31" s="212"/>
      <c r="J31" s="212"/>
      <c r="K31" s="212"/>
      <c r="L31" s="213"/>
    </row>
    <row r="32" spans="1:12" ht="15" customHeight="1" x14ac:dyDescent="0.3">
      <c r="A32" s="194"/>
      <c r="B32" s="211"/>
      <c r="C32" s="212"/>
      <c r="D32" s="212"/>
      <c r="E32" s="212"/>
      <c r="F32" s="212"/>
      <c r="G32" s="212"/>
      <c r="H32" s="212"/>
      <c r="I32" s="212"/>
      <c r="J32" s="212"/>
      <c r="K32" s="212"/>
      <c r="L32" s="213"/>
    </row>
    <row r="33" spans="1:12" ht="15" customHeight="1" x14ac:dyDescent="0.3">
      <c r="A33" s="194"/>
      <c r="B33" s="211"/>
      <c r="C33" s="212"/>
      <c r="D33" s="212"/>
      <c r="E33" s="212"/>
      <c r="F33" s="212"/>
      <c r="G33" s="212"/>
      <c r="H33" s="212"/>
      <c r="I33" s="212"/>
      <c r="J33" s="212"/>
      <c r="K33" s="212"/>
      <c r="L33" s="213"/>
    </row>
    <row r="34" spans="1:12" ht="15" customHeight="1" x14ac:dyDescent="0.3">
      <c r="A34" s="194"/>
      <c r="B34" s="211"/>
      <c r="C34" s="212"/>
      <c r="D34" s="212"/>
      <c r="E34" s="212"/>
      <c r="F34" s="212"/>
      <c r="G34" s="212"/>
      <c r="H34" s="212"/>
      <c r="I34" s="212"/>
      <c r="J34" s="212"/>
      <c r="K34" s="212"/>
      <c r="L34" s="213"/>
    </row>
    <row r="35" spans="1:12" ht="15" customHeight="1" x14ac:dyDescent="0.3">
      <c r="A35" s="194"/>
      <c r="B35" s="211"/>
      <c r="C35" s="212"/>
      <c r="D35" s="212"/>
      <c r="E35" s="212"/>
      <c r="F35" s="212"/>
      <c r="G35" s="212"/>
      <c r="H35" s="212"/>
      <c r="I35" s="212"/>
      <c r="J35" s="212"/>
      <c r="K35" s="212"/>
      <c r="L35" s="213"/>
    </row>
    <row r="36" spans="1:12" ht="15" customHeight="1" x14ac:dyDescent="0.3">
      <c r="A36" s="194"/>
      <c r="B36" s="211"/>
      <c r="C36" s="212"/>
      <c r="D36" s="212"/>
      <c r="E36" s="212"/>
      <c r="F36" s="212"/>
      <c r="G36" s="212"/>
      <c r="H36" s="212"/>
      <c r="I36" s="212"/>
      <c r="J36" s="212"/>
      <c r="K36" s="212"/>
      <c r="L36" s="213"/>
    </row>
    <row r="37" spans="1:12" ht="24" customHeight="1" x14ac:dyDescent="0.3">
      <c r="A37" s="194"/>
      <c r="B37" s="214"/>
      <c r="C37" s="215"/>
      <c r="D37" s="215"/>
      <c r="E37" s="215"/>
      <c r="F37" s="215"/>
      <c r="G37" s="215"/>
      <c r="H37" s="215"/>
      <c r="I37" s="215"/>
      <c r="J37" s="215"/>
      <c r="K37" s="215"/>
      <c r="L37" s="216"/>
    </row>
    <row r="38" spans="1:12" ht="15" customHeight="1" x14ac:dyDescent="0.3">
      <c r="A38" s="194"/>
      <c r="B38" s="211" t="s">
        <v>315</v>
      </c>
      <c r="C38" s="212"/>
      <c r="D38" s="212"/>
      <c r="E38" s="212"/>
      <c r="F38" s="212"/>
      <c r="G38" s="212"/>
      <c r="H38" s="212"/>
      <c r="I38" s="212"/>
      <c r="J38" s="212"/>
      <c r="K38" s="212"/>
      <c r="L38" s="213"/>
    </row>
    <row r="39" spans="1:12" ht="15" customHeight="1" x14ac:dyDescent="0.3">
      <c r="A39" s="194"/>
      <c r="B39" s="211"/>
      <c r="C39" s="212"/>
      <c r="D39" s="212"/>
      <c r="E39" s="212"/>
      <c r="F39" s="212"/>
      <c r="G39" s="212"/>
      <c r="H39" s="212"/>
      <c r="I39" s="212"/>
      <c r="J39" s="212"/>
      <c r="K39" s="212"/>
      <c r="L39" s="213"/>
    </row>
    <row r="40" spans="1:12" ht="15" customHeight="1" x14ac:dyDescent="0.3">
      <c r="A40" s="205"/>
      <c r="B40" s="211"/>
      <c r="C40" s="212"/>
      <c r="D40" s="212"/>
      <c r="E40" s="212"/>
      <c r="F40" s="212"/>
      <c r="G40" s="212"/>
      <c r="H40" s="212"/>
      <c r="I40" s="212"/>
      <c r="J40" s="212"/>
      <c r="K40" s="212"/>
      <c r="L40" s="213"/>
    </row>
    <row r="41" spans="1:12" ht="15" customHeight="1" x14ac:dyDescent="0.3">
      <c r="A41" s="194"/>
      <c r="B41" s="211"/>
      <c r="C41" s="212"/>
      <c r="D41" s="212"/>
      <c r="E41" s="212"/>
      <c r="F41" s="212"/>
      <c r="G41" s="212"/>
      <c r="H41" s="212"/>
      <c r="I41" s="212"/>
      <c r="J41" s="212"/>
      <c r="K41" s="212"/>
      <c r="L41" s="213"/>
    </row>
    <row r="42" spans="1:12" ht="15" customHeight="1" x14ac:dyDescent="0.3">
      <c r="A42" s="194"/>
      <c r="B42" s="211"/>
      <c r="C42" s="212"/>
      <c r="D42" s="212"/>
      <c r="E42" s="212"/>
      <c r="F42" s="212"/>
      <c r="G42" s="212"/>
      <c r="H42" s="212"/>
      <c r="I42" s="212"/>
      <c r="J42" s="212"/>
      <c r="K42" s="212"/>
      <c r="L42" s="213"/>
    </row>
    <row r="43" spans="1:12" s="4" customFormat="1" ht="15" customHeight="1" x14ac:dyDescent="0.3">
      <c r="A43" s="205"/>
      <c r="B43" s="211"/>
      <c r="C43" s="212"/>
      <c r="D43" s="212"/>
      <c r="E43" s="212"/>
      <c r="F43" s="212"/>
      <c r="G43" s="212"/>
      <c r="H43" s="212"/>
      <c r="I43" s="212"/>
      <c r="J43" s="212"/>
      <c r="K43" s="212"/>
      <c r="L43" s="213"/>
    </row>
    <row r="44" spans="1:12" ht="15" customHeight="1" x14ac:dyDescent="0.3">
      <c r="A44" s="197"/>
      <c r="B44" s="211"/>
      <c r="C44" s="212"/>
      <c r="D44" s="212"/>
      <c r="E44" s="212"/>
      <c r="F44" s="212"/>
      <c r="G44" s="212"/>
      <c r="H44" s="212"/>
      <c r="I44" s="212"/>
      <c r="J44" s="212"/>
      <c r="K44" s="212"/>
      <c r="L44" s="213"/>
    </row>
    <row r="45" spans="1:12" ht="15" customHeight="1" x14ac:dyDescent="0.3">
      <c r="A45" s="197"/>
      <c r="B45" s="211"/>
      <c r="C45" s="212"/>
      <c r="D45" s="212"/>
      <c r="E45" s="212"/>
      <c r="F45" s="212"/>
      <c r="G45" s="212"/>
      <c r="H45" s="212"/>
      <c r="I45" s="212"/>
      <c r="J45" s="212"/>
      <c r="K45" s="212"/>
      <c r="L45" s="213"/>
    </row>
    <row r="46" spans="1:12" ht="15" customHeight="1" x14ac:dyDescent="0.3">
      <c r="A46" s="197"/>
      <c r="B46" s="211"/>
      <c r="C46" s="212"/>
      <c r="D46" s="212"/>
      <c r="E46" s="212"/>
      <c r="F46" s="212"/>
      <c r="G46" s="212"/>
      <c r="H46" s="212"/>
      <c r="I46" s="212"/>
      <c r="J46" s="212"/>
      <c r="K46" s="212"/>
      <c r="L46" s="213"/>
    </row>
    <row r="47" spans="1:12" ht="24" customHeight="1" thickBot="1" x14ac:dyDescent="0.35">
      <c r="A47" s="197"/>
      <c r="B47" s="217"/>
      <c r="C47" s="218"/>
      <c r="D47" s="218"/>
      <c r="E47" s="218"/>
      <c r="F47" s="218"/>
      <c r="G47" s="218"/>
      <c r="H47" s="218"/>
      <c r="I47" s="218"/>
      <c r="J47" s="218"/>
      <c r="K47" s="218"/>
      <c r="L47" s="219"/>
    </row>
    <row r="48" spans="1:12" ht="15" customHeight="1" x14ac:dyDescent="0.3">
      <c r="B48" s="11"/>
      <c r="C48" s="11"/>
      <c r="D48" s="11"/>
      <c r="E48" s="11"/>
      <c r="F48" s="11"/>
      <c r="G48" s="11"/>
      <c r="H48" s="11"/>
      <c r="I48" s="11"/>
      <c r="J48" s="11"/>
      <c r="K48" s="11"/>
      <c r="L48" s="11"/>
    </row>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x14ac:dyDescent="0.3">
      <c r="A60" s="11"/>
      <c r="B60" s="11"/>
      <c r="C60" s="11"/>
      <c r="D60" s="11"/>
      <c r="E60" s="11"/>
    </row>
  </sheetData>
  <mergeCells count="18">
    <mergeCell ref="A2:L2"/>
    <mergeCell ref="A1:L1"/>
    <mergeCell ref="B4:G4"/>
    <mergeCell ref="I4:J7"/>
    <mergeCell ref="K4:L7"/>
    <mergeCell ref="B5:G8"/>
    <mergeCell ref="I8:L17"/>
    <mergeCell ref="B10:G10"/>
    <mergeCell ref="B11:G17"/>
    <mergeCell ref="B30:L36"/>
    <mergeCell ref="B37:L37"/>
    <mergeCell ref="B38:L46"/>
    <mergeCell ref="B47:L47"/>
    <mergeCell ref="B19:L19"/>
    <mergeCell ref="B20:L22"/>
    <mergeCell ref="B23:L23"/>
    <mergeCell ref="B24:L28"/>
    <mergeCell ref="B29:L2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5FD1-5C3B-4D16-8FDE-AA786208D457}">
  <sheetPr codeName="Hoja3">
    <tabColor theme="1"/>
  </sheetPr>
  <dimension ref="B1:K36"/>
  <sheetViews>
    <sheetView showGridLines="0" topLeftCell="C4" workbookViewId="0">
      <selection activeCell="F12" sqref="F12"/>
    </sheetView>
  </sheetViews>
  <sheetFormatPr defaultColWidth="11.44140625" defaultRowHeight="14.4" x14ac:dyDescent="0.3"/>
  <cols>
    <col min="1" max="1" width="3.44140625" customWidth="1"/>
    <col min="2" max="2" width="7.21875" customWidth="1"/>
    <col min="3" max="3" width="9.21875" customWidth="1"/>
    <col min="4" max="4" width="21.44140625" customWidth="1"/>
    <col min="5" max="5" width="14.21875" customWidth="1"/>
    <col min="6" max="6" width="57.21875" customWidth="1"/>
    <col min="7" max="7" width="21.44140625" customWidth="1"/>
    <col min="8" max="9" width="25" customWidth="1"/>
    <col min="10" max="10" width="11.77734375" bestFit="1" customWidth="1"/>
  </cols>
  <sheetData>
    <row r="1" spans="2:11" ht="18.75" customHeight="1" x14ac:dyDescent="0.3"/>
    <row r="2" spans="2:11" ht="30" customHeight="1" x14ac:dyDescent="0.3">
      <c r="D2" s="17"/>
      <c r="E2" s="18"/>
      <c r="F2" s="18"/>
    </row>
    <row r="3" spans="2:11" ht="16.5" customHeight="1" x14ac:dyDescent="0.4">
      <c r="B3" s="39" t="s">
        <v>9</v>
      </c>
      <c r="C3" s="16"/>
      <c r="D3" s="36"/>
      <c r="E3" s="18"/>
      <c r="F3" s="18"/>
      <c r="I3" s="35">
        <v>0</v>
      </c>
      <c r="J3" s="274" t="s">
        <v>10</v>
      </c>
      <c r="K3" s="274"/>
    </row>
    <row r="4" spans="2:11" ht="16.5" customHeight="1" x14ac:dyDescent="0.3">
      <c r="I4" s="35">
        <v>1</v>
      </c>
      <c r="J4" s="274" t="s">
        <v>11</v>
      </c>
      <c r="K4" s="274"/>
    </row>
    <row r="5" spans="2:11" ht="16.5" customHeight="1" x14ac:dyDescent="0.3">
      <c r="C5" s="19"/>
      <c r="E5" s="20" t="s">
        <v>12</v>
      </c>
      <c r="F5" s="45">
        <f>COUNTIF(SUMMARY!B7:B36,TRUE())</f>
        <v>9</v>
      </c>
    </row>
    <row r="6" spans="2:11" ht="37.5" customHeight="1" x14ac:dyDescent="0.3">
      <c r="B6" s="23" t="s">
        <v>13</v>
      </c>
      <c r="C6" s="24" t="s">
        <v>14</v>
      </c>
      <c r="D6" s="24" t="s">
        <v>15</v>
      </c>
      <c r="E6" s="24" t="s">
        <v>16</v>
      </c>
      <c r="F6" s="24" t="s">
        <v>17</v>
      </c>
      <c r="G6" s="24" t="s">
        <v>18</v>
      </c>
      <c r="H6" s="24" t="s">
        <v>19</v>
      </c>
      <c r="I6" s="24" t="s">
        <v>20</v>
      </c>
      <c r="J6" s="24" t="s">
        <v>21</v>
      </c>
      <c r="K6" s="24" t="s">
        <v>22</v>
      </c>
    </row>
    <row r="7" spans="2:11" s="14" customFormat="1" ht="15" customHeight="1" x14ac:dyDescent="0.3">
      <c r="B7" s="41" t="b">
        <v>1</v>
      </c>
      <c r="C7" s="21">
        <f>IF(B7=TRUE,1,"")</f>
        <v>1</v>
      </c>
      <c r="D7" s="22" t="s">
        <v>319</v>
      </c>
      <c r="E7" s="26">
        <v>2020</v>
      </c>
      <c r="F7" s="185" t="s">
        <v>327</v>
      </c>
      <c r="G7" s="185" t="s">
        <v>336</v>
      </c>
      <c r="H7" s="185" t="s">
        <v>344</v>
      </c>
      <c r="I7" s="186" t="str">
        <f>IF(D7="","",CONCATENATE(D7,", ",E7))</f>
        <v>Bansal et al., 2020</v>
      </c>
      <c r="J7" s="44">
        <f>IF(SUMMARY!B7=TRUE,IF(SUM(CHARMS!F$13,CHARMS!F$15,CHARMS!F$29,CHARMS!F$37,CHARMS!F$44,CHARMS!F$49,CHARMS!F$52,CHARMS!F$57,CHARMS!F$78,CHARMS!F$83,CHARMS!F$88)&lt;11,0,1))</f>
        <v>1</v>
      </c>
      <c r="K7" s="44">
        <f>IF(SUMMARY!B7=TRUE,IF(SUM(COUNTBLANK(PROBAST!B$16:B$17),COUNTBLANK(PROBAST!B$30:B$31),COUNTBLANK(PROBAST!B$44:B$45),COUNTBLANK(PROBAST!B$63))&gt;0,0,1))</f>
        <v>1</v>
      </c>
    </row>
    <row r="8" spans="2:11" ht="15" customHeight="1" x14ac:dyDescent="0.3">
      <c r="B8" s="42" t="b">
        <v>1</v>
      </c>
      <c r="C8" s="21">
        <f>IF(B8=TRUE,2,"")</f>
        <v>2</v>
      </c>
      <c r="D8" s="22" t="s">
        <v>320</v>
      </c>
      <c r="E8" s="26">
        <v>2021</v>
      </c>
      <c r="F8" s="185" t="s">
        <v>328</v>
      </c>
      <c r="G8" s="185" t="s">
        <v>337</v>
      </c>
      <c r="H8" s="185" t="s">
        <v>345</v>
      </c>
      <c r="I8" s="186" t="str">
        <f t="shared" ref="I8:I36" si="0">IF(D8="","",CONCATENATE(D8,", ",E8))</f>
        <v>Hamilton et al., 2021</v>
      </c>
      <c r="J8" s="44">
        <f>IF(SUMMARY!B$8=TRUE,IF(SUM(CHARMS!I13,CHARMS!I15,CHARMS!I29,CHARMS!I37,CHARMS!I44,CHARMS!I49,CHARMS!I52,CHARMS!I57,CHARMS!I78,CHARMS!I83,CHARMS!I88)&lt;11,0,1))</f>
        <v>1</v>
      </c>
      <c r="K8" s="44">
        <f>IF(SUMMARY!B8=TRUE,IF(SUM(COUNTBLANK(PROBAST!C$16:C$17),COUNTBLANK(PROBAST!C$30:C$31),COUNTBLANK(PROBAST!C$44:C$45),COUNTBLANK(PROBAST!C$63))&gt;0,0,1))</f>
        <v>1</v>
      </c>
    </row>
    <row r="9" spans="2:11" ht="15" customHeight="1" x14ac:dyDescent="0.3">
      <c r="B9" s="42" t="b">
        <v>1</v>
      </c>
      <c r="C9" s="21">
        <f>IF(B9=TRUE,3,"")</f>
        <v>3</v>
      </c>
      <c r="D9" s="22" t="s">
        <v>320</v>
      </c>
      <c r="E9" s="26">
        <v>2022</v>
      </c>
      <c r="F9" s="185" t="s">
        <v>329</v>
      </c>
      <c r="G9" s="185" t="s">
        <v>337</v>
      </c>
      <c r="H9" s="185" t="s">
        <v>344</v>
      </c>
      <c r="I9" s="186" t="str">
        <f t="shared" si="0"/>
        <v>Hamilton et al., 2022</v>
      </c>
      <c r="J9" s="44">
        <f>IF(SUMMARY!B$9=TRUE,IF(SUM(CHARMS!L13,CHARMS!L15,CHARMS!L29,CHARMS!L37,CHARMS!L44,CHARMS!L49,CHARMS!L52,CHARMS!L57,CHARMS!L78,CHARMS!L83,CHARMS!L88)&lt;11,0,1))</f>
        <v>1</v>
      </c>
      <c r="K9" s="44">
        <f>IF(SUMMARY!B9=TRUE,IF(SUM(COUNTBLANK(PROBAST!D$16:D$17),COUNTBLANK(PROBAST!D$30:D$31),COUNTBLANK(PROBAST!D$44:D$45),COUNTBLANK(PROBAST!D$63))&gt;0,0,1))</f>
        <v>1</v>
      </c>
    </row>
    <row r="10" spans="2:11" ht="15" customHeight="1" x14ac:dyDescent="0.3">
      <c r="B10" s="43" t="b">
        <v>1</v>
      </c>
      <c r="C10" s="21">
        <f>IF(B10=TRUE,4,"")</f>
        <v>4</v>
      </c>
      <c r="D10" s="22" t="s">
        <v>321</v>
      </c>
      <c r="E10" s="26">
        <v>2019</v>
      </c>
      <c r="F10" s="185" t="s">
        <v>330</v>
      </c>
      <c r="G10" s="185" t="s">
        <v>338</v>
      </c>
      <c r="H10" s="185" t="s">
        <v>346</v>
      </c>
      <c r="I10" s="186" t="str">
        <f t="shared" si="0"/>
        <v>Mortazavi et al., 2019</v>
      </c>
      <c r="J10" s="44">
        <f>IF(SUMMARY!B$10=TRUE,IF(SUM(CHARMS!O13,CHARMS!O15,CHARMS!O29,CHARMS!O37,CHARMS!O44,CHARMS!O49,CHARMS!O52,CHARMS!O57,CHARMS!O78,CHARMS!O83,CHARMS!O88)&lt;11,0,1))</f>
        <v>1</v>
      </c>
      <c r="K10" s="44">
        <f>IF(SUMMARY!B10=TRUE,IF(SUM(COUNTBLANK(PROBAST!E$16:E$17),COUNTBLANK(PROBAST!E$30:E$31),COUNTBLANK(PROBAST!E$44:E$45),COUNTBLANK(PROBAST!E$63))&gt;0,0,1))</f>
        <v>1</v>
      </c>
    </row>
    <row r="11" spans="2:11" ht="15" customHeight="1" x14ac:dyDescent="0.3">
      <c r="B11" s="43" t="b">
        <v>1</v>
      </c>
      <c r="C11" s="21">
        <f>IF(B11=TRUE,5,"")</f>
        <v>5</v>
      </c>
      <c r="D11" s="22" t="s">
        <v>322</v>
      </c>
      <c r="E11" s="26">
        <v>2021</v>
      </c>
      <c r="F11" s="185" t="s">
        <v>331</v>
      </c>
      <c r="G11" s="185" t="s">
        <v>339</v>
      </c>
      <c r="H11" s="185" t="s">
        <v>347</v>
      </c>
      <c r="I11" s="186" t="str">
        <f t="shared" si="0"/>
        <v>Kulkarni et al., 2021</v>
      </c>
      <c r="J11" s="44">
        <f>IF(SUMMARY!B$11=TRUE,IF(SUM(CHARMS!R13,CHARMS!R15,CHARMS!R29,CHARMS!R37,CHARMS!R44,CHARMS!R49,CHARMS!R52,CHARMS!R57,CHARMS!R78,CHARMS!R83,CHARMS!R88)&lt;11,0,1))</f>
        <v>1</v>
      </c>
      <c r="K11" s="44">
        <f>IF(SUMMARY!B11=TRUE,IF(SUM(COUNTBLANK(PROBAST!F$16:F$17),COUNTBLANK(PROBAST!F$30:F$31),COUNTBLANK(PROBAST!F$44:F$45),COUNTBLANK(PROBAST!F$63))&gt;0,0,1))</f>
        <v>1</v>
      </c>
    </row>
    <row r="12" spans="2:11" ht="15" customHeight="1" x14ac:dyDescent="0.3">
      <c r="B12" s="43" t="b">
        <v>1</v>
      </c>
      <c r="C12" s="21">
        <f>IF(B12=TRUE,6,"")</f>
        <v>6</v>
      </c>
      <c r="D12" s="22" t="s">
        <v>323</v>
      </c>
      <c r="E12" s="26">
        <v>2022</v>
      </c>
      <c r="F12" s="185" t="s">
        <v>332</v>
      </c>
      <c r="G12" s="185" t="s">
        <v>340</v>
      </c>
      <c r="H12" s="185" t="s">
        <v>344</v>
      </c>
      <c r="I12" s="186" t="str">
        <f t="shared" si="0"/>
        <v>Niimi et al., 2022</v>
      </c>
      <c r="J12" s="44">
        <f>IF(SUMMARY!B$12=TRUE,IF(SUM(CHARMS!U13,CHARMS!U15,CHARMS!U29,CHARMS!U37,CHARMS!U44,CHARMS!U49,CHARMS!U52,CHARMS!U57,CHARMS!U78,CHARMS!U83,CHARMS!U88)&lt;11,0,1))</f>
        <v>1</v>
      </c>
      <c r="K12" s="44">
        <f>IF(SUMMARY!B12=TRUE,IF(SUM(COUNTBLANK(PROBAST!G$16:G$17),COUNTBLANK(PROBAST!G$30:G$31),COUNTBLANK(PROBAST!G$44:G$45),COUNTBLANK(PROBAST!G$63))&gt;0,0,1))</f>
        <v>1</v>
      </c>
    </row>
    <row r="13" spans="2:11" ht="15" customHeight="1" x14ac:dyDescent="0.3">
      <c r="B13" s="43" t="b">
        <v>1</v>
      </c>
      <c r="C13" s="21">
        <f>IF(B13=TRUE,7,"")</f>
        <v>7</v>
      </c>
      <c r="D13" s="22" t="s">
        <v>324</v>
      </c>
      <c r="E13" s="26">
        <v>2020</v>
      </c>
      <c r="F13" s="185" t="s">
        <v>333</v>
      </c>
      <c r="G13" s="185" t="s">
        <v>341</v>
      </c>
      <c r="H13" s="185" t="s">
        <v>348</v>
      </c>
      <c r="I13" s="186" t="str">
        <f t="shared" si="0"/>
        <v>Rayfield et al., 2020</v>
      </c>
      <c r="J13" s="44">
        <f>IF(SUMMARY!B$13=TRUE,IF(SUM(CHARMS!X13,CHARMS!X15,CHARMS!X29,CHARMS!X37,CHARMS!X44,CHARMS!X49,CHARMS!X52,CHARMS!X57,CHARMS!X78,CHARMS!X83,CHARMS!X88)&lt;11,0,1))</f>
        <v>1</v>
      </c>
      <c r="K13" s="44">
        <f>IF(SUMMARY!B13=TRUE,IF(SUM(COUNTBLANK(PROBAST!H$16:H$17),COUNTBLANK(PROBAST!H$30:H$31),COUNTBLANK(PROBAST!H$44:H$45),COUNTBLANK(PROBAST!H$63))&gt;0,0,1))</f>
        <v>1</v>
      </c>
    </row>
    <row r="14" spans="2:11" ht="15" customHeight="1" x14ac:dyDescent="0.3">
      <c r="B14" s="43" t="b">
        <v>1</v>
      </c>
      <c r="C14" s="21">
        <f>IF(B14=TRUE,8,"")</f>
        <v>8</v>
      </c>
      <c r="D14" s="22" t="s">
        <v>325</v>
      </c>
      <c r="E14" s="26">
        <v>2023</v>
      </c>
      <c r="F14" s="185" t="s">
        <v>334</v>
      </c>
      <c r="G14" s="185" t="s">
        <v>342</v>
      </c>
      <c r="H14" s="185" t="s">
        <v>344</v>
      </c>
      <c r="I14" s="186" t="str">
        <f t="shared" si="0"/>
        <v>Zhao et al., 2023</v>
      </c>
      <c r="J14" s="44">
        <f>IF(SUMMARY!B$14=TRUE,IF(SUM(CHARMS!AA13,CHARMS!AA15,CHARMS!AA29,CHARMS!AA37,CHARMS!AA44,CHARMS!AA49,CHARMS!AA52,CHARMS!AA57,CHARMS!AA78,CHARMS!AA83,CHARMS!AA88)&lt;11,0,1))</f>
        <v>1</v>
      </c>
      <c r="K14" s="44">
        <f>IF(SUMMARY!B14=TRUE,IF(SUM(COUNTBLANK(PROBAST!I$16:I$17),COUNTBLANK(PROBAST!I$30:I$31),COUNTBLANK(PROBAST!I$44:I$45),COUNTBLANK(PROBAST!I$63))&gt;0,0,1))</f>
        <v>1</v>
      </c>
    </row>
    <row r="15" spans="2:11" ht="15" customHeight="1" x14ac:dyDescent="0.3">
      <c r="B15" s="43" t="b">
        <v>1</v>
      </c>
      <c r="C15" s="21">
        <f>IF(B15=TRUE,9,"")</f>
        <v>9</v>
      </c>
      <c r="D15" s="22" t="s">
        <v>326</v>
      </c>
      <c r="E15" s="26">
        <v>2021</v>
      </c>
      <c r="F15" s="185" t="s">
        <v>335</v>
      </c>
      <c r="G15" s="185" t="s">
        <v>343</v>
      </c>
      <c r="H15" s="185" t="s">
        <v>344</v>
      </c>
      <c r="I15" s="186" t="str">
        <f t="shared" si="0"/>
        <v>Hurley et al., 2021</v>
      </c>
      <c r="J15" s="44">
        <f>IF(SUMMARY!B$15=TRUE,IF(SUM(CHARMS!AD13,CHARMS!AD15,CHARMS!AD29,CHARMS!AD37,CHARMS!AD44,CHARMS!AD49,CHARMS!AD52,CHARMS!AD57,CHARMS!AD78,CHARMS!AD83,CHARMS!AD88)&lt;11,0,1))</f>
        <v>1</v>
      </c>
      <c r="K15" s="44">
        <f>IF(SUMMARY!B15=TRUE,IF(SUM(COUNTBLANK(PROBAST!J$16:J$17),COUNTBLANK(PROBAST!J$30:J$31),COUNTBLANK(PROBAST!J$44:J$45),COUNTBLANK(PROBAST!J$63))&gt;0,0,1))</f>
        <v>1</v>
      </c>
    </row>
    <row r="16" spans="2:11" ht="15" customHeight="1" x14ac:dyDescent="0.3">
      <c r="B16" s="43" t="b">
        <v>0</v>
      </c>
      <c r="C16" s="21" t="str">
        <f>IF(B16=TRUE,10,"")</f>
        <v/>
      </c>
      <c r="D16" s="22" t="s">
        <v>318</v>
      </c>
      <c r="E16" s="26">
        <v>2018</v>
      </c>
      <c r="F16" s="185" t="s">
        <v>23</v>
      </c>
      <c r="G16" s="185" t="s">
        <v>24</v>
      </c>
      <c r="H16" s="185" t="s">
        <v>25</v>
      </c>
      <c r="I16" s="186" t="str">
        <f t="shared" si="0"/>
        <v>Fernández-Hidalgo (a), 2018</v>
      </c>
      <c r="J16" s="44" t="b">
        <f>IF(SUMMARY!B$16=TRUE,IF(SUM(CHARMS!AG13,CHARMS!AG15,CHARMS!AG29,CHARMS!AG37,CHARMS!AG44,CHARMS!AG49,CHARMS!AG52,CHARMS!AG57,CHARMS!AG78,CHARMS!AG83,CHARMS!AG88)&lt;11,0,1))</f>
        <v>0</v>
      </c>
      <c r="K16" s="44" t="b">
        <f>IF(SUMMARY!B16=TRUE,IF(SUM(COUNTBLANK(PROBAST!K$16:K$17),COUNTBLANK(PROBAST!K$30:K$31),COUNTBLANK(PROBAST!K$44:K$45),COUNTBLANK(PROBAST!K$63))&gt;0,0,1))</f>
        <v>0</v>
      </c>
    </row>
    <row r="17" spans="2:11" ht="15" customHeight="1" x14ac:dyDescent="0.3">
      <c r="B17" s="43" t="b">
        <v>0</v>
      </c>
      <c r="C17" s="21" t="str">
        <f>IF(B17=TRUE,11,"")</f>
        <v/>
      </c>
      <c r="D17" s="22" t="s">
        <v>317</v>
      </c>
      <c r="E17" s="26">
        <v>2018</v>
      </c>
      <c r="F17" s="185" t="s">
        <v>23</v>
      </c>
      <c r="G17" s="185" t="s">
        <v>24</v>
      </c>
      <c r="H17" s="185" t="s">
        <v>26</v>
      </c>
      <c r="I17" s="186" t="str">
        <f t="shared" si="0"/>
        <v>Fernández-Hidalgo (b), 2018</v>
      </c>
      <c r="J17" s="44" t="b">
        <f>IF(SUMMARY!B$17=TRUE,IF(SUM(CHARMS!AJ13,CHARMS!AJ15,CHARMS!AJ29,CHARMS!AJ37,CHARMS!AJ44,CHARMS!AJ49,CHARMS!AJ52,CHARMS!AJ57,CHARMS!AJ78,CHARMS!AJ83,CHARMS!AJ88)&lt;11,0,1))</f>
        <v>0</v>
      </c>
      <c r="K17" s="44" t="b">
        <f>IF(SUMMARY!B17=TRUE,IF(SUM(COUNTBLANK(PROBAST!L$16:L$17),COUNTBLANK(PROBAST!L$30:L$31),COUNTBLANK(PROBAST!L$44:L$45),COUNTBLANK(PROBAST!L$63))&gt;0,0,1))</f>
        <v>0</v>
      </c>
    </row>
    <row r="18" spans="2:11" x14ac:dyDescent="0.3">
      <c r="B18" s="43" t="b">
        <v>0</v>
      </c>
      <c r="C18" s="21" t="str">
        <f>IF(B18=TRUE,12,"")</f>
        <v/>
      </c>
      <c r="D18" s="22"/>
      <c r="E18" s="26"/>
      <c r="F18" s="185"/>
      <c r="G18" s="185"/>
      <c r="H18" s="185"/>
      <c r="I18" s="186" t="str">
        <f t="shared" si="0"/>
        <v/>
      </c>
      <c r="J18" s="44" t="b">
        <f>IF(SUMMARY!B$18=TRUE,IF(SUM(CHARMS!AM13,CHARMS!AM15,CHARMS!AM29,CHARMS!AM37,CHARMS!AM44,CHARMS!AM49,CHARMS!AM52,CHARMS!AM57,CHARMS!AM78,CHARMS!AM83,CHARMS!AM88)&lt;11,0,1))</f>
        <v>0</v>
      </c>
      <c r="K18" s="44" t="b">
        <f>IF(SUMMARY!B18=TRUE,IF(SUM(COUNTBLANK(PROBAST!M$16:M$17),COUNTBLANK(PROBAST!M$30:M$31),COUNTBLANK(PROBAST!M$44:M$45),COUNTBLANK(PROBAST!M$63))&gt;0,0,1))</f>
        <v>0</v>
      </c>
    </row>
    <row r="19" spans="2:11" x14ac:dyDescent="0.3">
      <c r="B19" s="43" t="b">
        <v>0</v>
      </c>
      <c r="C19" s="21" t="str">
        <f>IF(B19=TRUE,13,"")</f>
        <v/>
      </c>
      <c r="D19" s="22"/>
      <c r="E19" s="26"/>
      <c r="F19" s="185"/>
      <c r="G19" s="185"/>
      <c r="H19" s="185"/>
      <c r="I19" s="186" t="str">
        <f t="shared" si="0"/>
        <v/>
      </c>
      <c r="J19" s="44" t="b">
        <f>IF(SUMMARY!B$19=TRUE,IF(SUM(CHARMS!AP13,CHARMS!AP15,CHARMS!AP29,CHARMS!AP37,CHARMS!AP44,CHARMS!AP49,CHARMS!AP52,CHARMS!AP57,CHARMS!AP78,CHARMS!AP83,CHARMS!AP88)&lt;11,0,1))</f>
        <v>0</v>
      </c>
      <c r="K19" s="44" t="b">
        <f>IF(SUMMARY!B19=TRUE,IF(SUM(COUNTBLANK(PROBAST!N$16:N$17),COUNTBLANK(PROBAST!N$30:N$31),COUNTBLANK(PROBAST!N$44:N$45),COUNTBLANK(PROBAST!N$63))&gt;0,0,1))</f>
        <v>0</v>
      </c>
    </row>
    <row r="20" spans="2:11" x14ac:dyDescent="0.3">
      <c r="B20" s="43" t="b">
        <v>0</v>
      </c>
      <c r="C20" s="21" t="str">
        <f>IF(B20=TRUE,14,"")</f>
        <v/>
      </c>
      <c r="D20" s="22"/>
      <c r="E20" s="26"/>
      <c r="F20" s="185"/>
      <c r="G20" s="185"/>
      <c r="H20" s="185"/>
      <c r="I20" s="186" t="str">
        <f t="shared" si="0"/>
        <v/>
      </c>
      <c r="J20" s="44" t="b">
        <f>IF(SUMMARY!B$20=TRUE,IF(SUM(CHARMS!AS13,CHARMS!AS15,CHARMS!AS29,CHARMS!AS37,CHARMS!AS44,CHARMS!AS49,CHARMS!AS52,CHARMS!AS57,CHARMS!AS78,CHARMS!AS83,CHARMS!AS88)&lt;11,0,1))</f>
        <v>0</v>
      </c>
      <c r="K20" s="44" t="b">
        <f>IF(SUMMARY!B20=TRUE,IF(SUM(COUNTBLANK(PROBAST!O$16:O$17),COUNTBLANK(PROBAST!O$30:O$31),COUNTBLANK(PROBAST!O$44:O$45),COUNTBLANK(PROBAST!O$63))&gt;0,0,1))</f>
        <v>0</v>
      </c>
    </row>
    <row r="21" spans="2:11" x14ac:dyDescent="0.3">
      <c r="B21" s="43" t="b">
        <v>0</v>
      </c>
      <c r="C21" s="21" t="str">
        <f>IF(B21=TRUE,15,"")</f>
        <v/>
      </c>
      <c r="D21" s="22"/>
      <c r="E21" s="26"/>
      <c r="F21" s="185"/>
      <c r="G21" s="185"/>
      <c r="H21" s="185"/>
      <c r="I21" s="186" t="str">
        <f t="shared" si="0"/>
        <v/>
      </c>
      <c r="J21" s="44" t="b">
        <f>IF(SUMMARY!B$21=TRUE,IF(SUM(CHARMS!AV13,CHARMS!AV15,CHARMS!AV29,CHARMS!AV37,CHARMS!AV44,CHARMS!AV49,CHARMS!AV52,CHARMS!AV57,CHARMS!AV78,CHARMS!AV83,CHARMS!AV88)&lt;11,0,1))</f>
        <v>0</v>
      </c>
      <c r="K21" s="44" t="b">
        <f>IF(SUMMARY!B21=TRUE,IF(SUM(COUNTBLANK(PROBAST!P$16:P$17),COUNTBLANK(PROBAST!P$30:P$31),COUNTBLANK(PROBAST!P$44:P$45),COUNTBLANK(PROBAST!P$63))&gt;0,0,1))</f>
        <v>0</v>
      </c>
    </row>
    <row r="22" spans="2:11" x14ac:dyDescent="0.3">
      <c r="B22" s="43" t="b">
        <v>0</v>
      </c>
      <c r="C22" s="21" t="str">
        <f>IF(B22=TRUE,16,"")</f>
        <v/>
      </c>
      <c r="D22" s="22"/>
      <c r="E22" s="26"/>
      <c r="F22" s="185"/>
      <c r="G22" s="185"/>
      <c r="H22" s="185"/>
      <c r="I22" s="186" t="str">
        <f t="shared" si="0"/>
        <v/>
      </c>
      <c r="J22" s="44" t="b">
        <f>IF(SUMMARY!B$22=TRUE,IF(SUM(CHARMS!AY13,CHARMS!AY15,CHARMS!AY29,CHARMS!AY37,CHARMS!AY44,CHARMS!AY49,CHARMS!AY52,CHARMS!AY57,CHARMS!AY78,CHARMS!AY83,CHARMS!AY88)&lt;11,0,1))</f>
        <v>0</v>
      </c>
      <c r="K22" s="44" t="b">
        <f>IF(SUMMARY!B22=TRUE,IF(SUM(COUNTBLANK(PROBAST!Q$16:Q$17),COUNTBLANK(PROBAST!Q$30:Q$31),COUNTBLANK(PROBAST!Q$44:Q$45),COUNTBLANK(PROBAST!Q$63))&gt;0,0,1))</f>
        <v>0</v>
      </c>
    </row>
    <row r="23" spans="2:11" x14ac:dyDescent="0.3">
      <c r="B23" s="43" t="b">
        <v>0</v>
      </c>
      <c r="C23" s="21" t="str">
        <f>IF(B23=TRUE,17,"")</f>
        <v/>
      </c>
      <c r="D23" s="22"/>
      <c r="E23" s="26"/>
      <c r="F23" s="185"/>
      <c r="G23" s="185"/>
      <c r="H23" s="185"/>
      <c r="I23" s="186" t="str">
        <f t="shared" si="0"/>
        <v/>
      </c>
      <c r="J23" s="44" t="b">
        <f>IF(SUMMARY!B$23=TRUE,IF(SUM(CHARMS!BB13,CHARMS!BB15,CHARMS!BB29,CHARMS!BB37,CHARMS!BB44,CHARMS!BB49,CHARMS!BB52,CHARMS!BB57,CHARMS!BB78,CHARMS!BB83,CHARMS!BB88)&lt;11,0,1))</f>
        <v>0</v>
      </c>
      <c r="K23" s="44" t="b">
        <f>IF(SUMMARY!B23=TRUE,IF(SUM(COUNTBLANK(PROBAST!R$16:R$17),COUNTBLANK(PROBAST!R$30:R$31),COUNTBLANK(PROBAST!R$44:R$45),COUNTBLANK(PROBAST!R$63))&gt;0,0,1))</f>
        <v>0</v>
      </c>
    </row>
    <row r="24" spans="2:11" x14ac:dyDescent="0.3">
      <c r="B24" s="43" t="b">
        <v>0</v>
      </c>
      <c r="C24" s="21" t="str">
        <f>IF(B24=TRUE,18,"")</f>
        <v/>
      </c>
      <c r="D24" s="22"/>
      <c r="E24" s="26"/>
      <c r="F24" s="185"/>
      <c r="G24" s="185"/>
      <c r="H24" s="185"/>
      <c r="I24" s="186" t="str">
        <f t="shared" si="0"/>
        <v/>
      </c>
      <c r="J24" s="44" t="b">
        <f>IF(SUMMARY!B$24=TRUE,IF(SUM(CHARMS!BE13,CHARMS!BE15,CHARMS!BE29,CHARMS!BE37,CHARMS!BE44,CHARMS!BE49,CHARMS!BE52,CHARMS!BE57,CHARMS!BE78,CHARMS!BE83,CHARMS!BE88)&lt;11,0,1))</f>
        <v>0</v>
      </c>
      <c r="K24" s="44" t="b">
        <f>IF(SUMMARY!B24=TRUE,IF(SUM(COUNTBLANK(PROBAST!S$16:S$17),COUNTBLANK(PROBAST!S$30:S$31),COUNTBLANK(PROBAST!S$44:S$45),COUNTBLANK(PROBAST!S$63))&gt;0,0,1))</f>
        <v>0</v>
      </c>
    </row>
    <row r="25" spans="2:11" x14ac:dyDescent="0.3">
      <c r="B25" s="43" t="b">
        <v>0</v>
      </c>
      <c r="C25" s="21" t="str">
        <f>IF(B25=TRUE,19,"")</f>
        <v/>
      </c>
      <c r="D25" s="22"/>
      <c r="E25" s="26"/>
      <c r="F25" s="185"/>
      <c r="G25" s="185"/>
      <c r="H25" s="185"/>
      <c r="I25" s="186" t="str">
        <f t="shared" si="0"/>
        <v/>
      </c>
      <c r="J25" s="44" t="b">
        <f>IF(SUMMARY!B$25=TRUE,IF(SUM(CHARMS!BH13,CHARMS!BH15,CHARMS!BH29,CHARMS!BH37,CHARMS!BH44,CHARMS!BH49,CHARMS!BH52,CHARMS!BH57,CHARMS!BH78,CHARMS!BH83,CHARMS!BH88)&lt;11,0,1))</f>
        <v>0</v>
      </c>
      <c r="K25" s="44" t="b">
        <f>IF(SUMMARY!B25=TRUE,IF(SUM(COUNTBLANK(PROBAST!T$16:T$17),COUNTBLANK(PROBAST!T$30:T$31),COUNTBLANK(PROBAST!T$44:T$45),COUNTBLANK(PROBAST!T$63))&gt;0,0,1))</f>
        <v>0</v>
      </c>
    </row>
    <row r="26" spans="2:11" x14ac:dyDescent="0.3">
      <c r="B26" s="43" t="b">
        <v>0</v>
      </c>
      <c r="C26" s="21" t="str">
        <f>IF(B26=TRUE,20,"")</f>
        <v/>
      </c>
      <c r="D26" s="22"/>
      <c r="E26" s="26"/>
      <c r="F26" s="185"/>
      <c r="G26" s="185"/>
      <c r="H26" s="185"/>
      <c r="I26" s="186" t="str">
        <f t="shared" si="0"/>
        <v/>
      </c>
      <c r="J26" s="44" t="b">
        <f>IF(SUMMARY!B$26=TRUE,IF(SUM(CHARMS!BK13,CHARMS!BK15,CHARMS!BK29,CHARMS!BK37,CHARMS!BK44,CHARMS!BK49,CHARMS!BK52,CHARMS!BK57,CHARMS!BK78,CHARMS!BK83,CHARMS!BK88)&lt;11,0,1))</f>
        <v>0</v>
      </c>
      <c r="K26" s="44" t="b">
        <f>IF(SUMMARY!B26=TRUE,IF(SUM(COUNTBLANK(PROBAST!U$16:U$17),COUNTBLANK(PROBAST!U$30:U$31),COUNTBLANK(PROBAST!U$44:U$45),COUNTBLANK(PROBAST!U$63))&gt;0,0,1))</f>
        <v>0</v>
      </c>
    </row>
    <row r="27" spans="2:11" x14ac:dyDescent="0.3">
      <c r="B27" s="43" t="b">
        <v>0</v>
      </c>
      <c r="C27" s="21" t="str">
        <f>IF(B27=TRUE,21,"")</f>
        <v/>
      </c>
      <c r="D27" s="22"/>
      <c r="E27" s="26"/>
      <c r="F27" s="185"/>
      <c r="G27" s="185"/>
      <c r="H27" s="185"/>
      <c r="I27" s="186" t="str">
        <f t="shared" si="0"/>
        <v/>
      </c>
      <c r="J27" s="44" t="b">
        <f>IF(SUMMARY!B$27=TRUE,IF(SUM(CHARMS!BN13,CHARMS!BN15,CHARMS!BN29,CHARMS!BN37,CHARMS!BN44,CHARMS!BN49,CHARMS!BN52,CHARMS!BN57,CHARMS!BN78,CHARMS!BN83,CHARMS!BN88)&lt;11,0,1))</f>
        <v>0</v>
      </c>
      <c r="K27" s="44" t="b">
        <f>IF(SUMMARY!B27=TRUE,IF(SUM(COUNTBLANK(PROBAST!V$16:V$17),COUNTBLANK(PROBAST!V$30:V$31),COUNTBLANK(PROBAST!V$44:V$45),COUNTBLANK(PROBAST!V$63))&gt;0,0,1))</f>
        <v>0</v>
      </c>
    </row>
    <row r="28" spans="2:11" x14ac:dyDescent="0.3">
      <c r="B28" s="43" t="b">
        <v>0</v>
      </c>
      <c r="C28" s="21" t="str">
        <f>IF(B28=TRUE,22,"")</f>
        <v/>
      </c>
      <c r="D28" s="22"/>
      <c r="E28" s="26"/>
      <c r="F28" s="185"/>
      <c r="G28" s="185"/>
      <c r="H28" s="185"/>
      <c r="I28" s="186" t="str">
        <f t="shared" si="0"/>
        <v/>
      </c>
      <c r="J28" s="44" t="b">
        <f>IF(SUMMARY!B$28=TRUE,IF(SUM(CHARMS!BQ13,CHARMS!BQ15,CHARMS!BQ29,CHARMS!BQ37,CHARMS!BQ44,CHARMS!BQ49,CHARMS!BQ52,CHARMS!BQ57,CHARMS!BQ78,CHARMS!BQ83,CHARMS!BQ88)&lt;11,0,1))</f>
        <v>0</v>
      </c>
      <c r="K28" s="44" t="b">
        <f>IF(SUMMARY!B28=TRUE,IF(SUM(COUNTBLANK(PROBAST!W$16:W$17),COUNTBLANK(PROBAST!W$30:W$31),COUNTBLANK(PROBAST!W$44:W$45),COUNTBLANK(PROBAST!W$63))&gt;0,0,1))</f>
        <v>0</v>
      </c>
    </row>
    <row r="29" spans="2:11" x14ac:dyDescent="0.3">
      <c r="B29" s="43" t="b">
        <v>0</v>
      </c>
      <c r="C29" s="21" t="str">
        <f>IF(B29=TRUE,23,"")</f>
        <v/>
      </c>
      <c r="D29" s="22"/>
      <c r="E29" s="26"/>
      <c r="F29" s="185"/>
      <c r="G29" s="185"/>
      <c r="H29" s="185"/>
      <c r="I29" s="186" t="str">
        <f t="shared" si="0"/>
        <v/>
      </c>
      <c r="J29" s="44" t="b">
        <f>IF(SUMMARY!B$29=TRUE,IF(SUM(CHARMS!BT13,CHARMS!BT15,CHARMS!BT29,CHARMS!BT37,CHARMS!BT44,CHARMS!BT49,CHARMS!BT52,CHARMS!BT57,CHARMS!BT78,CHARMS!BT83,CHARMS!BT88)&lt;11,0,1))</f>
        <v>0</v>
      </c>
      <c r="K29" s="44" t="b">
        <f>IF(SUMMARY!B29=TRUE,IF(SUM(COUNTBLANK(PROBAST!X$16:X$17),COUNTBLANK(PROBAST!X$30:X$31),COUNTBLANK(PROBAST!X$44:X$45),COUNTBLANK(PROBAST!X$63))&gt;0,0,1))</f>
        <v>0</v>
      </c>
    </row>
    <row r="30" spans="2:11" x14ac:dyDescent="0.3">
      <c r="B30" s="43" t="b">
        <v>0</v>
      </c>
      <c r="C30" s="21" t="str">
        <f>IF(B30=TRUE,24,"")</f>
        <v/>
      </c>
      <c r="D30" s="22"/>
      <c r="E30" s="26"/>
      <c r="F30" s="185"/>
      <c r="G30" s="185"/>
      <c r="H30" s="185"/>
      <c r="I30" s="186" t="str">
        <f t="shared" si="0"/>
        <v/>
      </c>
      <c r="J30" s="44" t="b">
        <f>IF(SUMMARY!B$30=TRUE,IF(SUM(CHARMS!BW13,CHARMS!BW15,CHARMS!BW29,CHARMS!BW37,CHARMS!BW44,CHARMS!BW49,CHARMS!BW52,CHARMS!BW57,CHARMS!BW78,CHARMS!BW83,CHARMS!BW88)&lt;11,0,1))</f>
        <v>0</v>
      </c>
      <c r="K30" s="44" t="b">
        <f>IF(SUMMARY!B30=TRUE,IF(SUM(COUNTBLANK(PROBAST!Y$16:Y$17),COUNTBLANK(PROBAST!Y$30:Y$31),COUNTBLANK(PROBAST!Y$44:Y$45),COUNTBLANK(PROBAST!Y$63))&gt;0,0,1))</f>
        <v>0</v>
      </c>
    </row>
    <row r="31" spans="2:11" x14ac:dyDescent="0.3">
      <c r="B31" s="43" t="b">
        <v>0</v>
      </c>
      <c r="C31" s="21" t="str">
        <f>IF(B31=TRUE,25,"")</f>
        <v/>
      </c>
      <c r="D31" s="22"/>
      <c r="E31" s="26"/>
      <c r="F31" s="185"/>
      <c r="G31" s="185"/>
      <c r="H31" s="185"/>
      <c r="I31" s="186" t="str">
        <f t="shared" si="0"/>
        <v/>
      </c>
      <c r="J31" s="44" t="b">
        <f>IF(SUMMARY!B$31=TRUE,IF(SUM(CHARMS!BZ$13,CHARMS!BZ$15,CHARMS!BZ$29,CHARMS!BZ$37,CHARMS!BZ$44,CHARMS!BZ$49,CHARMS!BZ$52,CHARMS!BZ$57,CHARMS!BZ$78,CHARMS!BZ$83,CHARMS!BZ$88)&lt;11,0,1))</f>
        <v>0</v>
      </c>
      <c r="K31" s="44" t="b">
        <f>IF(SUMMARY!B31=TRUE,IF(SUM(COUNTBLANK(PROBAST!Z$16:Z$17),COUNTBLANK(PROBAST!Z$30:Z$31),COUNTBLANK(PROBAST!Z$44:Z$45),COUNTBLANK(PROBAST!Z$63))&gt;0,0,1))</f>
        <v>0</v>
      </c>
    </row>
    <row r="32" spans="2:11" x14ac:dyDescent="0.3">
      <c r="B32" s="43" t="b">
        <v>0</v>
      </c>
      <c r="C32" s="21" t="str">
        <f>IF(B32=TRUE,26,"")</f>
        <v/>
      </c>
      <c r="D32" s="22"/>
      <c r="E32" s="26"/>
      <c r="F32" s="185"/>
      <c r="G32" s="185"/>
      <c r="H32" s="185"/>
      <c r="I32" s="186" t="str">
        <f t="shared" si="0"/>
        <v/>
      </c>
      <c r="J32" s="44" t="b">
        <f>IF(SUMMARY!B$32=TRUE,IF(SUM(CHARMS!CC$13,CHARMS!CC$15,CHARMS!CC$29,CHARMS!CC$37,CHARMS!CC$44,CHARMS!CC$49,CHARMS!CC$52,CHARMS!CC$57,CHARMS!CC$78,CHARMS!CC$83,CHARMS!CC$88)&lt;11,0,1))</f>
        <v>0</v>
      </c>
      <c r="K32" s="44" t="b">
        <f>IF(SUMMARY!B32=TRUE,IF(SUM(COUNTBLANK(PROBAST!AA$16:AA$17),COUNTBLANK(PROBAST!AA$30:AA$31),COUNTBLANK(PROBAST!AA$44:AA$45),COUNTBLANK(PROBAST!AA$63))&gt;0,0,1))</f>
        <v>0</v>
      </c>
    </row>
    <row r="33" spans="2:11" x14ac:dyDescent="0.3">
      <c r="B33" s="43" t="b">
        <v>0</v>
      </c>
      <c r="C33" s="21" t="str">
        <f>IF(B33=TRUE,27,"")</f>
        <v/>
      </c>
      <c r="D33" s="22"/>
      <c r="E33" s="26"/>
      <c r="F33" s="185"/>
      <c r="G33" s="185"/>
      <c r="H33" s="185"/>
      <c r="I33" s="186" t="str">
        <f t="shared" si="0"/>
        <v/>
      </c>
      <c r="J33" s="44" t="b">
        <f>IF(SUMMARY!B$33=TRUE,IF(SUM(CHARMS!CF$13,CHARMS!CF$15,CHARMS!CF$29,CHARMS!CF$37,CHARMS!CF$44,CHARMS!CF$49,CHARMS!CF$52,CHARMS!CF$57,CHARMS!CF$78,CHARMS!CF$83,CHARMS!CF$88)&lt;11,0,1))</f>
        <v>0</v>
      </c>
      <c r="K33" s="44" t="b">
        <f>IF(SUMMARY!B33=TRUE,IF(SUM(COUNTBLANK(PROBAST!AB$16:AB$17),COUNTBLANK(PROBAST!AB$30:AB$31),COUNTBLANK(PROBAST!AB$44:AB$45),COUNTBLANK(PROBAST!AB$63))&gt;0,0,1))</f>
        <v>0</v>
      </c>
    </row>
    <row r="34" spans="2:11" x14ac:dyDescent="0.3">
      <c r="B34" s="43" t="b">
        <v>0</v>
      </c>
      <c r="C34" s="21" t="str">
        <f>IF(B34=TRUE,28,"")</f>
        <v/>
      </c>
      <c r="D34" s="22"/>
      <c r="E34" s="26"/>
      <c r="F34" s="185"/>
      <c r="G34" s="185"/>
      <c r="H34" s="185"/>
      <c r="I34" s="186" t="str">
        <f t="shared" si="0"/>
        <v/>
      </c>
      <c r="J34" s="44" t="b">
        <f>IF(SUMMARY!B$34=TRUE,IF(SUM(CHARMS!CI$13,CHARMS!CI$15,CHARMS!CI$29,CHARMS!CI$37,CHARMS!CI$44,CHARMS!CI$49,CHARMS!CI$52,CHARMS!CI$57,CHARMS!CI$78,CHARMS!CI$83,CHARMS!CI$88)&lt;11,0,1))</f>
        <v>0</v>
      </c>
      <c r="K34" s="44" t="b">
        <f>IF(SUMMARY!B34=TRUE,IF(SUM(COUNTBLANK(PROBAST!B$16:AC$17),COUNTBLANK(PROBAST!AC$30:AC$31),COUNTBLANK(PROBAST!AC$44:AC$45),COUNTBLANK(PROBAST!AC$63))&gt;0,0,1))</f>
        <v>0</v>
      </c>
    </row>
    <row r="35" spans="2:11" x14ac:dyDescent="0.3">
      <c r="B35" s="43" t="b">
        <v>0</v>
      </c>
      <c r="C35" s="21" t="str">
        <f>IF(B35=TRUE,29,"")</f>
        <v/>
      </c>
      <c r="D35" s="22"/>
      <c r="E35" s="26"/>
      <c r="F35" s="185"/>
      <c r="G35" s="185"/>
      <c r="H35" s="185"/>
      <c r="I35" s="186" t="str">
        <f t="shared" si="0"/>
        <v/>
      </c>
      <c r="J35" s="44" t="b">
        <f>IF(SUMMARY!B$35=TRUE,IF(SUM(CHARMS!CL$13,CHARMS!CL$15,CHARMS!CL$29,CHARMS!CL$37,CHARMS!CL$44,CHARMS!CL$49,CHARMS!CL$52,CHARMS!CL$57,CHARMS!CL$78,CHARMS!CL$83,CHARMS!CL$88)&lt;11,0,1))</f>
        <v>0</v>
      </c>
      <c r="K35" s="44" t="b">
        <f>IF(SUMMARY!B35=TRUE,IF(SUM(COUNTBLANK(PROBAST!AD$16:AD$17),COUNTBLANK(PROBAST!AD$30:AD$31),COUNTBLANK(PROBAST!AD$44:AD$45),COUNTBLANK(PROBAST!AD$63))&gt;0,0,1))</f>
        <v>0</v>
      </c>
    </row>
    <row r="36" spans="2:11" x14ac:dyDescent="0.3">
      <c r="B36" s="43" t="b">
        <v>0</v>
      </c>
      <c r="C36" s="21" t="str">
        <f>IF(B36=TRUE,30,"")</f>
        <v/>
      </c>
      <c r="D36" s="22"/>
      <c r="E36" s="26"/>
      <c r="F36" s="185"/>
      <c r="G36" s="185"/>
      <c r="H36" s="185"/>
      <c r="I36" s="186" t="str">
        <f t="shared" si="0"/>
        <v/>
      </c>
      <c r="J36" s="44" t="b">
        <f>IF(SUMMARY!B$36=TRUE,IF(SUM(CHARMS!CO$13,CHARMS!CO$15,CHARMS!CO$29,CHARMS!CO$37,CHARMS!CO$44,CHARMS!CO$49,CHARMS!CO$52,CHARMS!CO$57,CHARMS!CO$78,CHARMS!CO$83,CHARMS!CO$88)&lt;11,0,1))</f>
        <v>0</v>
      </c>
      <c r="K36" s="44" t="b">
        <f>IF(SUMMARY!B36=TRUE,IF(SUM(COUNTBLANK(PROBAST!AE$16:AE$17),COUNTBLANK(PROBAST!AE$30:AE$31),COUNTBLANK(PROBAST!AE$44:AE$45),COUNTBLANK(PROBAST!AE$63))&gt;0,0,1))</f>
        <v>0</v>
      </c>
    </row>
  </sheetData>
  <mergeCells count="2">
    <mergeCell ref="J3:K3"/>
    <mergeCell ref="J4:K4"/>
  </mergeCells>
  <conditionalFormatting sqref="C7:K36">
    <cfRule type="expression" dxfId="772" priority="3">
      <formula>$B7=FALSE</formula>
    </cfRule>
  </conditionalFormatting>
  <conditionalFormatting sqref="I3:I4">
    <cfRule type="iconSet" priority="1">
      <iconSet iconSet="3Symbols" showValue="0">
        <cfvo type="percent" val="0"/>
        <cfvo type="num" val="0"/>
        <cfvo type="num" val="1"/>
      </iconSet>
    </cfRule>
  </conditionalFormatting>
  <conditionalFormatting sqref="J7:K36">
    <cfRule type="iconSet" priority="2">
      <iconSet iconSet="3Symbols" showValue="0">
        <cfvo type="percent" val="0"/>
        <cfvo type="num" val="0"/>
        <cfvo type="num" val="1"/>
      </iconSet>
    </cfRule>
  </conditionalFormatting>
  <dataValidations disablePrompts="1" count="1">
    <dataValidation showInputMessage="1" showErrorMessage="1" sqref="K7" xr:uid="{00000000-0002-0000-0000-000000000000}"/>
  </dataValidations>
  <pageMargins left="0.7" right="0.7" top="0.75" bottom="0.75"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1</xdr:col>
                    <xdr:colOff>0</xdr:colOff>
                    <xdr:row>6</xdr:row>
                    <xdr:rowOff>0</xdr:rowOff>
                  </from>
                  <to>
                    <xdr:col>2</xdr:col>
                    <xdr:colOff>0</xdr:colOff>
                    <xdr:row>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1</xdr:col>
                    <xdr:colOff>0</xdr:colOff>
                    <xdr:row>7</xdr:row>
                    <xdr:rowOff>0</xdr:rowOff>
                  </from>
                  <to>
                    <xdr:col>2</xdr:col>
                    <xdr:colOff>0</xdr:colOff>
                    <xdr:row>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1</xdr:col>
                    <xdr:colOff>0</xdr:colOff>
                    <xdr:row>8</xdr:row>
                    <xdr:rowOff>0</xdr:rowOff>
                  </from>
                  <to>
                    <xdr:col>2</xdr:col>
                    <xdr:colOff>0</xdr:colOff>
                    <xdr:row>9</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1</xdr:col>
                    <xdr:colOff>0</xdr:colOff>
                    <xdr:row>9</xdr:row>
                    <xdr:rowOff>0</xdr:rowOff>
                  </from>
                  <to>
                    <xdr:col>2</xdr:col>
                    <xdr:colOff>0</xdr:colOff>
                    <xdr:row>10</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1</xdr:col>
                    <xdr:colOff>0</xdr:colOff>
                    <xdr:row>10</xdr:row>
                    <xdr:rowOff>0</xdr:rowOff>
                  </from>
                  <to>
                    <xdr:col>2</xdr:col>
                    <xdr:colOff>0</xdr:colOff>
                    <xdr:row>11</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1</xdr:col>
                    <xdr:colOff>0</xdr:colOff>
                    <xdr:row>11</xdr:row>
                    <xdr:rowOff>0</xdr:rowOff>
                  </from>
                  <to>
                    <xdr:col>2</xdr:col>
                    <xdr:colOff>0</xdr:colOff>
                    <xdr:row>12</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ltText="">
                <anchor moveWithCells="1">
                  <from>
                    <xdr:col>1</xdr:col>
                    <xdr:colOff>0</xdr:colOff>
                    <xdr:row>12</xdr:row>
                    <xdr:rowOff>0</xdr:rowOff>
                  </from>
                  <to>
                    <xdr:col>2</xdr:col>
                    <xdr:colOff>0</xdr:colOff>
                    <xdr:row>13</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ltText="">
                <anchor moveWithCells="1">
                  <from>
                    <xdr:col>1</xdr:col>
                    <xdr:colOff>0</xdr:colOff>
                    <xdr:row>13</xdr:row>
                    <xdr:rowOff>0</xdr:rowOff>
                  </from>
                  <to>
                    <xdr:col>2</xdr:col>
                    <xdr:colOff>0</xdr:colOff>
                    <xdr:row>14</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ltText="">
                <anchor moveWithCells="1">
                  <from>
                    <xdr:col>1</xdr:col>
                    <xdr:colOff>0</xdr:colOff>
                    <xdr:row>14</xdr:row>
                    <xdr:rowOff>0</xdr:rowOff>
                  </from>
                  <to>
                    <xdr:col>2</xdr:col>
                    <xdr:colOff>0</xdr:colOff>
                    <xdr:row>15</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ltText="">
                <anchor moveWithCells="1">
                  <from>
                    <xdr:col>1</xdr:col>
                    <xdr:colOff>0</xdr:colOff>
                    <xdr:row>15</xdr:row>
                    <xdr:rowOff>0</xdr:rowOff>
                  </from>
                  <to>
                    <xdr:col>2</xdr:col>
                    <xdr:colOff>0</xdr:colOff>
                    <xdr:row>16</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ltText="">
                <anchor moveWithCells="1">
                  <from>
                    <xdr:col>1</xdr:col>
                    <xdr:colOff>0</xdr:colOff>
                    <xdr:row>16</xdr:row>
                    <xdr:rowOff>0</xdr:rowOff>
                  </from>
                  <to>
                    <xdr:col>2</xdr:col>
                    <xdr:colOff>0</xdr:colOff>
                    <xdr:row>17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ltText="">
                <anchor moveWithCells="1">
                  <from>
                    <xdr:col>1</xdr:col>
                    <xdr:colOff>0</xdr:colOff>
                    <xdr:row>17</xdr:row>
                    <xdr:rowOff>0</xdr:rowOff>
                  </from>
                  <to>
                    <xdr:col>2</xdr:col>
                    <xdr:colOff>0</xdr:colOff>
                    <xdr:row>18</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ltText="">
                <anchor moveWithCells="1">
                  <from>
                    <xdr:col>1</xdr:col>
                    <xdr:colOff>0</xdr:colOff>
                    <xdr:row>18</xdr:row>
                    <xdr:rowOff>0</xdr:rowOff>
                  </from>
                  <to>
                    <xdr:col>2</xdr:col>
                    <xdr:colOff>0</xdr:colOff>
                    <xdr:row>19</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ltText="">
                <anchor moveWithCells="1">
                  <from>
                    <xdr:col>1</xdr:col>
                    <xdr:colOff>0</xdr:colOff>
                    <xdr:row>19</xdr:row>
                    <xdr:rowOff>0</xdr:rowOff>
                  </from>
                  <to>
                    <xdr:col>2</xdr:col>
                    <xdr:colOff>0</xdr:colOff>
                    <xdr:row>20</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ltText="">
                <anchor moveWithCells="1">
                  <from>
                    <xdr:col>1</xdr:col>
                    <xdr:colOff>0</xdr:colOff>
                    <xdr:row>20</xdr:row>
                    <xdr:rowOff>0</xdr:rowOff>
                  </from>
                  <to>
                    <xdr:col>2</xdr:col>
                    <xdr:colOff>0</xdr:colOff>
                    <xdr:row>21</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ltText="">
                <anchor moveWithCells="1">
                  <from>
                    <xdr:col>1</xdr:col>
                    <xdr:colOff>0</xdr:colOff>
                    <xdr:row>21</xdr:row>
                    <xdr:rowOff>0</xdr:rowOff>
                  </from>
                  <to>
                    <xdr:col>2</xdr:col>
                    <xdr:colOff>0</xdr:colOff>
                    <xdr:row>22</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ltText="">
                <anchor moveWithCells="1">
                  <from>
                    <xdr:col>1</xdr:col>
                    <xdr:colOff>0</xdr:colOff>
                    <xdr:row>22</xdr:row>
                    <xdr:rowOff>0</xdr:rowOff>
                  </from>
                  <to>
                    <xdr:col>2</xdr:col>
                    <xdr:colOff>0</xdr:colOff>
                    <xdr:row>23</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ltText="">
                <anchor moveWithCells="1">
                  <from>
                    <xdr:col>1</xdr:col>
                    <xdr:colOff>0</xdr:colOff>
                    <xdr:row>23</xdr:row>
                    <xdr:rowOff>0</xdr:rowOff>
                  </from>
                  <to>
                    <xdr:col>2</xdr:col>
                    <xdr:colOff>0</xdr:colOff>
                    <xdr:row>24</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ltText="">
                <anchor moveWithCells="1">
                  <from>
                    <xdr:col>1</xdr:col>
                    <xdr:colOff>0</xdr:colOff>
                    <xdr:row>24</xdr:row>
                    <xdr:rowOff>0</xdr:rowOff>
                  </from>
                  <to>
                    <xdr:col>2</xdr:col>
                    <xdr:colOff>0</xdr:colOff>
                    <xdr:row>25</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ltText="">
                <anchor moveWithCells="1">
                  <from>
                    <xdr:col>1</xdr:col>
                    <xdr:colOff>0</xdr:colOff>
                    <xdr:row>25</xdr:row>
                    <xdr:rowOff>0</xdr:rowOff>
                  </from>
                  <to>
                    <xdr:col>2</xdr:col>
                    <xdr:colOff>0</xdr:colOff>
                    <xdr:row>26</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ltText="">
                <anchor moveWithCells="1">
                  <from>
                    <xdr:col>1</xdr:col>
                    <xdr:colOff>0</xdr:colOff>
                    <xdr:row>26</xdr:row>
                    <xdr:rowOff>0</xdr:rowOff>
                  </from>
                  <to>
                    <xdr:col>2</xdr:col>
                    <xdr:colOff>0</xdr:colOff>
                    <xdr:row>27</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ltText="">
                <anchor moveWithCells="1">
                  <from>
                    <xdr:col>1</xdr:col>
                    <xdr:colOff>0</xdr:colOff>
                    <xdr:row>27</xdr:row>
                    <xdr:rowOff>0</xdr:rowOff>
                  </from>
                  <to>
                    <xdr:col>2</xdr:col>
                    <xdr:colOff>0</xdr:colOff>
                    <xdr:row>28</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ltText="">
                <anchor moveWithCells="1">
                  <from>
                    <xdr:col>1</xdr:col>
                    <xdr:colOff>0</xdr:colOff>
                    <xdr:row>28</xdr:row>
                    <xdr:rowOff>0</xdr:rowOff>
                  </from>
                  <to>
                    <xdr:col>2</xdr:col>
                    <xdr:colOff>0</xdr:colOff>
                    <xdr:row>29</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ltText="">
                <anchor moveWithCells="1">
                  <from>
                    <xdr:col>1</xdr:col>
                    <xdr:colOff>0</xdr:colOff>
                    <xdr:row>29</xdr:row>
                    <xdr:rowOff>0</xdr:rowOff>
                  </from>
                  <to>
                    <xdr:col>2</xdr:col>
                    <xdr:colOff>0</xdr:colOff>
                    <xdr:row>30</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ltText="">
                <anchor moveWithCells="1">
                  <from>
                    <xdr:col>1</xdr:col>
                    <xdr:colOff>0</xdr:colOff>
                    <xdr:row>30</xdr:row>
                    <xdr:rowOff>0</xdr:rowOff>
                  </from>
                  <to>
                    <xdr:col>2</xdr:col>
                    <xdr:colOff>0</xdr:colOff>
                    <xdr:row>31</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ltText="">
                <anchor moveWithCells="1">
                  <from>
                    <xdr:col>1</xdr:col>
                    <xdr:colOff>0</xdr:colOff>
                    <xdr:row>31</xdr:row>
                    <xdr:rowOff>0</xdr:rowOff>
                  </from>
                  <to>
                    <xdr:col>2</xdr:col>
                    <xdr:colOff>0</xdr:colOff>
                    <xdr:row>32</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ltText="">
                <anchor moveWithCells="1">
                  <from>
                    <xdr:col>1</xdr:col>
                    <xdr:colOff>0</xdr:colOff>
                    <xdr:row>32</xdr:row>
                    <xdr:rowOff>0</xdr:rowOff>
                  </from>
                  <to>
                    <xdr:col>2</xdr:col>
                    <xdr:colOff>0</xdr:colOff>
                    <xdr:row>33</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ltText="">
                <anchor moveWithCells="1">
                  <from>
                    <xdr:col>1</xdr:col>
                    <xdr:colOff>0</xdr:colOff>
                    <xdr:row>33</xdr:row>
                    <xdr:rowOff>0</xdr:rowOff>
                  </from>
                  <to>
                    <xdr:col>2</xdr:col>
                    <xdr:colOff>0</xdr:colOff>
                    <xdr:row>34</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ltText="">
                <anchor moveWithCells="1">
                  <from>
                    <xdr:col>1</xdr:col>
                    <xdr:colOff>0</xdr:colOff>
                    <xdr:row>34</xdr:row>
                    <xdr:rowOff>0</xdr:rowOff>
                  </from>
                  <to>
                    <xdr:col>2</xdr:col>
                    <xdr:colOff>0</xdr:colOff>
                    <xdr:row>35</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ltText="">
                <anchor moveWithCells="1">
                  <from>
                    <xdr:col>1</xdr:col>
                    <xdr:colOff>0</xdr:colOff>
                    <xdr:row>35</xdr:row>
                    <xdr:rowOff>0</xdr:rowOff>
                  </from>
                  <to>
                    <xdr:col>2</xdr:col>
                    <xdr:colOff>0</xdr:colOff>
                    <xdr:row>36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tabColor theme="4" tint="-0.499984740745262"/>
  </sheetPr>
  <dimension ref="A1:CQ96"/>
  <sheetViews>
    <sheetView zoomScale="76" zoomScaleNormal="100" workbookViewId="0">
      <pane xSplit="5" ySplit="6" topLeftCell="F92" activePane="bottomRight" state="frozen"/>
      <selection pane="topRight" activeCell="F1" sqref="F1"/>
      <selection pane="bottomLeft" activeCell="A5" sqref="A5"/>
      <selection pane="bottomRight" activeCell="U83" sqref="U83"/>
    </sheetView>
  </sheetViews>
  <sheetFormatPr defaultColWidth="11.44140625" defaultRowHeight="14.4" x14ac:dyDescent="0.3"/>
  <cols>
    <col min="1" max="2" width="5" style="1" customWidth="1"/>
    <col min="3" max="3" width="5" style="2" customWidth="1"/>
    <col min="4" max="4" width="35.77734375" style="2" customWidth="1"/>
    <col min="5" max="5" width="21.44140625" style="2" customWidth="1"/>
    <col min="6" max="6" width="6.44140625" customWidth="1"/>
    <col min="7" max="7" width="12.77734375" customWidth="1"/>
    <col min="8" max="8" width="21.44140625" customWidth="1"/>
    <col min="9" max="9" width="6.44140625" customWidth="1"/>
    <col min="10" max="10" width="12.77734375" customWidth="1"/>
    <col min="11" max="11" width="21.44140625" customWidth="1"/>
    <col min="12" max="12" width="6.44140625" customWidth="1"/>
    <col min="13" max="13" width="12.77734375" customWidth="1"/>
    <col min="14" max="14" width="21.44140625" customWidth="1"/>
    <col min="15" max="15" width="6.44140625" customWidth="1"/>
    <col min="16" max="16" width="12.77734375" customWidth="1"/>
    <col min="17" max="17" width="21.44140625" customWidth="1"/>
    <col min="18" max="18" width="6.44140625" customWidth="1"/>
    <col min="19" max="19" width="12.77734375" customWidth="1"/>
    <col min="20" max="20" width="21.44140625" customWidth="1"/>
    <col min="21" max="21" width="6.44140625" customWidth="1"/>
    <col min="22" max="22" width="12.77734375" customWidth="1"/>
    <col min="23" max="23" width="21.44140625" customWidth="1"/>
    <col min="24" max="24" width="6.44140625" customWidth="1"/>
    <col min="25" max="25" width="12.77734375" customWidth="1"/>
    <col min="26" max="26" width="21.44140625" customWidth="1"/>
    <col min="27" max="27" width="6.44140625" customWidth="1"/>
    <col min="28" max="28" width="12.77734375" customWidth="1"/>
    <col min="29" max="29" width="21.44140625" customWidth="1"/>
    <col min="30" max="30" width="6.44140625" customWidth="1"/>
    <col min="31" max="31" width="12.77734375" customWidth="1"/>
    <col min="32" max="32" width="21.44140625" customWidth="1"/>
    <col min="33" max="33" width="6.44140625" customWidth="1"/>
    <col min="34" max="34" width="12.77734375" customWidth="1"/>
    <col min="35" max="35" width="21.44140625" customWidth="1"/>
    <col min="36" max="36" width="6.44140625" customWidth="1"/>
    <col min="37" max="37" width="12.77734375" customWidth="1"/>
    <col min="38" max="38" width="21.44140625" customWidth="1"/>
    <col min="39" max="39" width="6.44140625" customWidth="1"/>
    <col min="40" max="40" width="12.77734375" customWidth="1"/>
    <col min="41" max="41" width="21.44140625" customWidth="1"/>
    <col min="42" max="42" width="6.44140625" customWidth="1"/>
    <col min="43" max="43" width="12.77734375" customWidth="1"/>
    <col min="44" max="44" width="21.44140625" customWidth="1"/>
    <col min="45" max="45" width="6.44140625" customWidth="1"/>
    <col min="46" max="46" width="12.77734375" customWidth="1"/>
    <col min="47" max="47" width="21.44140625" customWidth="1"/>
    <col min="48" max="48" width="6.44140625" customWidth="1"/>
    <col min="49" max="49" width="12.77734375" customWidth="1"/>
    <col min="50" max="50" width="21.44140625" customWidth="1"/>
    <col min="51" max="51" width="6.44140625" customWidth="1"/>
    <col min="52" max="52" width="12.77734375" customWidth="1"/>
    <col min="53" max="53" width="21.44140625" customWidth="1"/>
    <col min="54" max="54" width="6.44140625" customWidth="1"/>
    <col min="55" max="55" width="12.77734375" customWidth="1"/>
    <col min="56" max="56" width="21.44140625" customWidth="1"/>
    <col min="57" max="57" width="6.44140625" customWidth="1"/>
    <col min="58" max="58" width="12.77734375" customWidth="1"/>
    <col min="59" max="59" width="21.44140625" customWidth="1"/>
    <col min="60" max="60" width="6.44140625" customWidth="1"/>
    <col min="61" max="61" width="12.77734375" customWidth="1"/>
    <col min="62" max="62" width="21.44140625" customWidth="1"/>
    <col min="63" max="63" width="6.44140625" customWidth="1"/>
    <col min="64" max="64" width="12.77734375" customWidth="1"/>
    <col min="65" max="65" width="21.44140625" customWidth="1"/>
    <col min="66" max="66" width="6.44140625" customWidth="1"/>
    <col min="67" max="67" width="12.77734375" customWidth="1"/>
    <col min="68" max="68" width="21.44140625" customWidth="1"/>
    <col min="69" max="69" width="6.44140625" customWidth="1"/>
    <col min="70" max="70" width="12.77734375" customWidth="1"/>
    <col min="71" max="71" width="21.44140625" customWidth="1"/>
    <col min="72" max="72" width="6.44140625" customWidth="1"/>
    <col min="73" max="73" width="12.77734375" customWidth="1"/>
    <col min="74" max="74" width="21.44140625" customWidth="1"/>
    <col min="75" max="75" width="6.44140625" customWidth="1"/>
    <col min="76" max="76" width="12.77734375" customWidth="1"/>
    <col min="77" max="77" width="21.44140625" customWidth="1"/>
    <col min="78" max="78" width="6.44140625" customWidth="1"/>
    <col min="79" max="79" width="12.77734375" customWidth="1"/>
    <col min="80" max="80" width="21.44140625" customWidth="1"/>
    <col min="81" max="81" width="6.44140625" customWidth="1"/>
    <col min="82" max="82" width="12.77734375" customWidth="1"/>
    <col min="83" max="83" width="21.44140625" customWidth="1"/>
    <col min="84" max="84" width="6.44140625" customWidth="1"/>
    <col min="85" max="85" width="12.77734375" customWidth="1"/>
    <col min="86" max="86" width="21.44140625" customWidth="1"/>
    <col min="87" max="87" width="6.44140625" customWidth="1"/>
    <col min="88" max="88" width="12.77734375" customWidth="1"/>
    <col min="89" max="89" width="21.44140625" customWidth="1"/>
    <col min="90" max="90" width="6.44140625" customWidth="1"/>
    <col min="91" max="91" width="12.77734375" customWidth="1"/>
    <col min="92" max="92" width="21.44140625" customWidth="1"/>
    <col min="93" max="93" width="6.44140625" customWidth="1"/>
    <col min="94" max="94" width="12.77734375" customWidth="1"/>
    <col min="95" max="95" width="21.44140625" customWidth="1"/>
  </cols>
  <sheetData>
    <row r="1" spans="1:95" s="3" customFormat="1" x14ac:dyDescent="0.3">
      <c r="A1" s="5"/>
      <c r="B1" s="5"/>
      <c r="C1" s="6"/>
      <c r="D1" s="6"/>
      <c r="E1" s="6"/>
    </row>
    <row r="2" spans="1:95" s="3" customFormat="1" x14ac:dyDescent="0.3">
      <c r="A2" s="5"/>
      <c r="B2" s="5"/>
      <c r="C2" s="6"/>
      <c r="D2" s="6"/>
      <c r="E2" s="6"/>
    </row>
    <row r="3" spans="1:95" s="10" customFormat="1" ht="27" customHeight="1" x14ac:dyDescent="0.3">
      <c r="A3" s="275" t="s">
        <v>27</v>
      </c>
      <c r="B3" s="275"/>
      <c r="C3" s="275"/>
      <c r="D3" s="275"/>
      <c r="E3" s="276"/>
    </row>
    <row r="4" spans="1:95" s="10" customFormat="1" x14ac:dyDescent="0.3">
      <c r="A4" s="40"/>
      <c r="B4" s="40"/>
      <c r="C4" s="9"/>
      <c r="D4" s="9"/>
      <c r="E4" s="9"/>
    </row>
    <row r="5" spans="1:95" s="10" customFormat="1" ht="17.25" customHeight="1" thickBot="1" x14ac:dyDescent="0.35">
      <c r="A5" s="7" t="s">
        <v>28</v>
      </c>
      <c r="B5" s="8"/>
      <c r="C5" s="7"/>
      <c r="D5" s="9"/>
      <c r="E5" s="9"/>
    </row>
    <row r="6" spans="1:95" s="14" customFormat="1" ht="30" customHeight="1" x14ac:dyDescent="0.3">
      <c r="A6" s="59" t="s">
        <v>29</v>
      </c>
      <c r="B6" s="60" t="s">
        <v>30</v>
      </c>
      <c r="C6" s="60" t="s">
        <v>31</v>
      </c>
      <c r="D6" s="296" t="s">
        <v>32</v>
      </c>
      <c r="E6" s="298"/>
      <c r="F6" s="296" t="str">
        <f>IF(SUMMARY!C7="","",SUMMARY!I7)</f>
        <v>Bansal et al., 2020</v>
      </c>
      <c r="G6" s="297"/>
      <c r="H6" s="298"/>
      <c r="I6" s="296" t="str">
        <f>IF(SUMMARY!C8="","",SUMMARY!I8)</f>
        <v>Hamilton et al., 2021</v>
      </c>
      <c r="J6" s="297" t="s">
        <v>33</v>
      </c>
      <c r="K6" s="298" t="s">
        <v>34</v>
      </c>
      <c r="L6" s="296" t="str">
        <f>IF(SUMMARY!C9="","",SUMMARY!I9)</f>
        <v>Hamilton et al., 2022</v>
      </c>
      <c r="M6" s="297"/>
      <c r="N6" s="298"/>
      <c r="O6" s="296" t="str">
        <f>IF(SUMMARY!C10="","",SUMMARY!I10)</f>
        <v>Mortazavi et al., 2019</v>
      </c>
      <c r="P6" s="297"/>
      <c r="Q6" s="298"/>
      <c r="R6" s="296" t="str">
        <f>IF(SUMMARY!C11="","",SUMMARY!I11)</f>
        <v>Kulkarni et al., 2021</v>
      </c>
      <c r="S6" s="297"/>
      <c r="T6" s="298"/>
      <c r="U6" s="296" t="str">
        <f>IF(SUMMARY!C12="","",SUMMARY!I12)</f>
        <v>Niimi et al., 2022</v>
      </c>
      <c r="V6" s="297"/>
      <c r="W6" s="298"/>
      <c r="X6" s="296" t="str">
        <f>IF(SUMMARY!C13="","",SUMMARY!I13)</f>
        <v>Rayfield et al., 2020</v>
      </c>
      <c r="Y6" s="297"/>
      <c r="Z6" s="298"/>
      <c r="AA6" s="296" t="str">
        <f>IF(SUMMARY!C14="","",SUMMARY!I14)</f>
        <v>Zhao et al., 2023</v>
      </c>
      <c r="AB6" s="297"/>
      <c r="AC6" s="298"/>
      <c r="AD6" s="296" t="str">
        <f>IF(SUMMARY!C15="","",SUMMARY!I15)</f>
        <v>Hurley et al., 2021</v>
      </c>
      <c r="AE6" s="297"/>
      <c r="AF6" s="298"/>
      <c r="AG6" s="296" t="str">
        <f>IF(SUMMARY!C16="","",SUMMARY!I16)</f>
        <v/>
      </c>
      <c r="AH6" s="297"/>
      <c r="AI6" s="298"/>
      <c r="AJ6" s="296" t="str">
        <f>IF(SUMMARY!C17="","",SUMMARY!I17)</f>
        <v/>
      </c>
      <c r="AK6" s="297"/>
      <c r="AL6" s="298"/>
      <c r="AM6" s="296" t="str">
        <f>IF(SUMMARY!C18="","",SUMMARY!I18)</f>
        <v/>
      </c>
      <c r="AN6" s="297"/>
      <c r="AO6" s="298"/>
      <c r="AP6" s="296" t="str">
        <f>IF(SUMMARY!C19="","",SUMMARY!I19)</f>
        <v/>
      </c>
      <c r="AQ6" s="297"/>
      <c r="AR6" s="298"/>
      <c r="AS6" s="296" t="str">
        <f>IF(SUMMARY!C20="","",SUMMARY!I20)</f>
        <v/>
      </c>
      <c r="AT6" s="297"/>
      <c r="AU6" s="298"/>
      <c r="AV6" s="296" t="str">
        <f>IF(SUMMARY!C21="","",SUMMARY!I21)</f>
        <v/>
      </c>
      <c r="AW6" s="297"/>
      <c r="AX6" s="298"/>
      <c r="AY6" s="296" t="str">
        <f>IF(SUMMARY!C22="","",SUMMARY!I22)</f>
        <v/>
      </c>
      <c r="AZ6" s="297"/>
      <c r="BA6" s="298"/>
      <c r="BB6" s="296" t="str">
        <f>IF(SUMMARY!C23="","",SUMMARY!I23)</f>
        <v/>
      </c>
      <c r="BC6" s="297"/>
      <c r="BD6" s="298"/>
      <c r="BE6" s="296" t="str">
        <f>IF(SUMMARY!C24="","",SUMMARY!I24)</f>
        <v/>
      </c>
      <c r="BF6" s="297"/>
      <c r="BG6" s="298"/>
      <c r="BH6" s="296" t="str">
        <f>IF(SUMMARY!C25="","",SUMMARY!I25)</f>
        <v/>
      </c>
      <c r="BI6" s="297"/>
      <c r="BJ6" s="298"/>
      <c r="BK6" s="296" t="str">
        <f>IF(SUMMARY!C26="","",SUMMARY!I26)</f>
        <v/>
      </c>
      <c r="BL6" s="297"/>
      <c r="BM6" s="298"/>
      <c r="BN6" s="296" t="str">
        <f>IF(SUMMARY!C27="","",SUMMARY!I27)</f>
        <v/>
      </c>
      <c r="BO6" s="297"/>
      <c r="BP6" s="298"/>
      <c r="BQ6" s="296" t="str">
        <f>IF(SUMMARY!C28="","",SUMMARY!I28)</f>
        <v/>
      </c>
      <c r="BR6" s="297"/>
      <c r="BS6" s="298"/>
      <c r="BT6" s="296" t="str">
        <f>IF(SUMMARY!C29="","",SUMMARY!I29)</f>
        <v/>
      </c>
      <c r="BU6" s="297"/>
      <c r="BV6" s="298"/>
      <c r="BW6" s="296" t="str">
        <f>IF(SUMMARY!C30="","",SUMMARY!I30)</f>
        <v/>
      </c>
      <c r="BX6" s="297"/>
      <c r="BY6" s="298"/>
      <c r="BZ6" s="296" t="str">
        <f>IF(SUMMARY!C31="","",SUMMARY!I31)</f>
        <v/>
      </c>
      <c r="CA6" s="297"/>
      <c r="CB6" s="298"/>
      <c r="CC6" s="296" t="str">
        <f>IF(SUMMARY!C32="","",SUMMARY!I32)</f>
        <v/>
      </c>
      <c r="CD6" s="297"/>
      <c r="CE6" s="298"/>
      <c r="CF6" s="296" t="str">
        <f>IF(SUMMARY!C33="","",SUMMARY!I33)</f>
        <v/>
      </c>
      <c r="CG6" s="297"/>
      <c r="CH6" s="298"/>
      <c r="CI6" s="296" t="str">
        <f>IF(SUMMARY!C34="","",SUMMARY!I34)</f>
        <v/>
      </c>
      <c r="CJ6" s="297"/>
      <c r="CK6" s="298"/>
      <c r="CL6" s="296" t="str">
        <f>IF(SUMMARY!C35="","",SUMMARY!I35)</f>
        <v/>
      </c>
      <c r="CM6" s="297"/>
      <c r="CN6" s="297"/>
      <c r="CO6" s="296" t="str">
        <f>IF(SUMMARY!C36="","",SUMMARY!I36)</f>
        <v/>
      </c>
      <c r="CP6" s="297"/>
      <c r="CQ6" s="297"/>
    </row>
    <row r="7" spans="1:95" ht="18.75" customHeight="1" x14ac:dyDescent="0.3">
      <c r="A7" s="337" t="s">
        <v>35</v>
      </c>
      <c r="B7" s="337"/>
      <c r="C7" s="337"/>
      <c r="D7" s="337"/>
      <c r="E7" s="338"/>
      <c r="F7" s="281"/>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1"/>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c r="BJ7" s="280"/>
      <c r="BK7" s="280"/>
      <c r="BL7" s="280"/>
      <c r="BM7" s="280"/>
      <c r="BN7" s="280"/>
      <c r="BO7" s="280"/>
      <c r="BP7" s="280"/>
      <c r="BQ7" s="280"/>
      <c r="BR7" s="280"/>
      <c r="BS7" s="280"/>
      <c r="BT7" s="280"/>
      <c r="BU7" s="280"/>
      <c r="BV7" s="280"/>
      <c r="BW7" s="280"/>
      <c r="BX7" s="280"/>
      <c r="BY7" s="280"/>
      <c r="BZ7" s="280"/>
      <c r="CA7" s="280"/>
      <c r="CB7" s="280"/>
      <c r="CC7" s="280"/>
      <c r="CD7" s="280"/>
      <c r="CE7" s="280"/>
      <c r="CF7" s="280"/>
      <c r="CG7" s="280"/>
      <c r="CH7" s="280"/>
      <c r="CI7" s="280"/>
      <c r="CJ7" s="280"/>
      <c r="CK7" s="280"/>
      <c r="CL7" s="280"/>
      <c r="CM7" s="280"/>
      <c r="CN7" s="280"/>
      <c r="CO7" s="281"/>
      <c r="CP7" s="280"/>
      <c r="CQ7" s="280"/>
    </row>
    <row r="8" spans="1:95" s="14" customFormat="1" ht="15" customHeight="1" x14ac:dyDescent="0.3">
      <c r="A8" s="61" t="s">
        <v>36</v>
      </c>
      <c r="B8" s="61"/>
      <c r="C8" s="61"/>
      <c r="D8" s="331" t="s">
        <v>37</v>
      </c>
      <c r="E8" s="332"/>
      <c r="F8" s="305" t="str">
        <f>IF(SUMMARY!$D7="","",SUMMARY!$D7)</f>
        <v>Bansal et al.</v>
      </c>
      <c r="G8" s="306"/>
      <c r="H8" s="306"/>
      <c r="I8" s="305" t="str">
        <f>IF(SUMMARY!$D8="","",SUMMARY!$D8)</f>
        <v>Hamilton et al.</v>
      </c>
      <c r="J8" s="306"/>
      <c r="K8" s="306"/>
      <c r="L8" s="305" t="str">
        <f>IF(SUMMARY!$D9="","",SUMMARY!$D9)</f>
        <v>Hamilton et al.</v>
      </c>
      <c r="M8" s="306"/>
      <c r="N8" s="306"/>
      <c r="O8" s="305" t="str">
        <f>IF(SUMMARY!$D10="","",SUMMARY!$D10)</f>
        <v>Mortazavi et al.</v>
      </c>
      <c r="P8" s="306"/>
      <c r="Q8" s="306"/>
      <c r="R8" s="305" t="str">
        <f>IF(SUMMARY!$D11="","",SUMMARY!$D11)</f>
        <v>Kulkarni et al.</v>
      </c>
      <c r="S8" s="306"/>
      <c r="T8" s="306"/>
      <c r="U8" s="305" t="str">
        <f>IF(SUMMARY!$D12="","",SUMMARY!$D12)</f>
        <v>Niimi et al.</v>
      </c>
      <c r="V8" s="306"/>
      <c r="W8" s="306"/>
      <c r="X8" s="305" t="str">
        <f>IF(SUMMARY!$D13="","",SUMMARY!$D13)</f>
        <v>Rayfield et al.</v>
      </c>
      <c r="Y8" s="306"/>
      <c r="Z8" s="306"/>
      <c r="AA8" s="305" t="str">
        <f>IF(SUMMARY!$D14="","",SUMMARY!$D14)</f>
        <v>Zhao et al.</v>
      </c>
      <c r="AB8" s="306"/>
      <c r="AC8" s="306"/>
      <c r="AD8" s="305" t="str">
        <f>IF(SUMMARY!$D15="","",SUMMARY!$D15)</f>
        <v>Hurley et al.</v>
      </c>
      <c r="AE8" s="306"/>
      <c r="AF8" s="306"/>
      <c r="AG8" s="305" t="str">
        <f>IF(SUMMARY!$D16="","",SUMMARY!$D16)</f>
        <v>Fernández-Hidalgo (a)</v>
      </c>
      <c r="AH8" s="306"/>
      <c r="AI8" s="306"/>
      <c r="AJ8" s="305" t="str">
        <f>IF(SUMMARY!$D17="","",SUMMARY!$D17)</f>
        <v>Fernández-Hidalgo (b)</v>
      </c>
      <c r="AK8" s="306"/>
      <c r="AL8" s="306"/>
      <c r="AM8" s="305" t="str">
        <f>IF(SUMMARY!$D18="","",SUMMARY!$D18)</f>
        <v/>
      </c>
      <c r="AN8" s="306"/>
      <c r="AO8" s="306"/>
      <c r="AP8" s="305" t="str">
        <f>IF(SUMMARY!$D19="","",SUMMARY!$D19)</f>
        <v/>
      </c>
      <c r="AQ8" s="306"/>
      <c r="AR8" s="306"/>
      <c r="AS8" s="305" t="str">
        <f>IF(SUMMARY!$D20="","",SUMMARY!$D20)</f>
        <v/>
      </c>
      <c r="AT8" s="306"/>
      <c r="AU8" s="306"/>
      <c r="AV8" s="305" t="str">
        <f>IF(SUMMARY!$D21="","",SUMMARY!$D21)</f>
        <v/>
      </c>
      <c r="AW8" s="306"/>
      <c r="AX8" s="306"/>
      <c r="AY8" s="305" t="str">
        <f>IF(SUMMARY!$D22="","",SUMMARY!$D22)</f>
        <v/>
      </c>
      <c r="AZ8" s="306"/>
      <c r="BA8" s="306"/>
      <c r="BB8" s="305" t="str">
        <f>IF(SUMMARY!$D23="","",SUMMARY!$D23)</f>
        <v/>
      </c>
      <c r="BC8" s="306"/>
      <c r="BD8" s="306"/>
      <c r="BE8" s="305" t="str">
        <f>IF(SUMMARY!$D24="","",SUMMARY!$D24)</f>
        <v/>
      </c>
      <c r="BF8" s="306"/>
      <c r="BG8" s="306"/>
      <c r="BH8" s="305" t="str">
        <f>IF(SUMMARY!$D25="","",SUMMARY!$D25)</f>
        <v/>
      </c>
      <c r="BI8" s="306"/>
      <c r="BJ8" s="306"/>
      <c r="BK8" s="305" t="str">
        <f>IF(SUMMARY!$D26="","",SUMMARY!$D26)</f>
        <v/>
      </c>
      <c r="BL8" s="306"/>
      <c r="BM8" s="306"/>
      <c r="BN8" s="305" t="str">
        <f>IF(SUMMARY!$D27="","",SUMMARY!$D27)</f>
        <v/>
      </c>
      <c r="BO8" s="306"/>
      <c r="BP8" s="306"/>
      <c r="BQ8" s="305" t="str">
        <f>IF(SUMMARY!$D28="","",SUMMARY!$D28)</f>
        <v/>
      </c>
      <c r="BR8" s="306"/>
      <c r="BS8" s="306"/>
      <c r="BT8" s="305" t="str">
        <f>IF(SUMMARY!$D29="","",SUMMARY!$D29)</f>
        <v/>
      </c>
      <c r="BU8" s="306"/>
      <c r="BV8" s="306"/>
      <c r="BW8" s="305" t="str">
        <f>IF(SUMMARY!$D30="","",SUMMARY!$D30)</f>
        <v/>
      </c>
      <c r="BX8" s="306"/>
      <c r="BY8" s="306"/>
      <c r="BZ8" s="305" t="str">
        <f>IF(SUMMARY!$D31="","",SUMMARY!$D31)</f>
        <v/>
      </c>
      <c r="CA8" s="306"/>
      <c r="CB8" s="306"/>
      <c r="CC8" s="305" t="str">
        <f>IF(SUMMARY!$D32="","",SUMMARY!$D32)</f>
        <v/>
      </c>
      <c r="CD8" s="306"/>
      <c r="CE8" s="306"/>
      <c r="CF8" s="305" t="str">
        <f>IF(SUMMARY!$D33="","",SUMMARY!$D33)</f>
        <v/>
      </c>
      <c r="CG8" s="306"/>
      <c r="CH8" s="306"/>
      <c r="CI8" s="305" t="str">
        <f>IF(SUMMARY!$D34="","",SUMMARY!$D34)</f>
        <v/>
      </c>
      <c r="CJ8" s="306"/>
      <c r="CK8" s="306"/>
      <c r="CL8" s="305" t="str">
        <f>IF(SUMMARY!$D35="","",SUMMARY!$D35)</f>
        <v/>
      </c>
      <c r="CM8" s="306"/>
      <c r="CN8" s="306"/>
      <c r="CO8" s="305" t="str">
        <f>IF(SUMMARY!$D36="","",SUMMARY!$D36)</f>
        <v/>
      </c>
      <c r="CP8" s="306"/>
      <c r="CQ8" s="306"/>
    </row>
    <row r="9" spans="1:95" s="14" customFormat="1" ht="15" customHeight="1" x14ac:dyDescent="0.3">
      <c r="A9" s="62" t="s">
        <v>36</v>
      </c>
      <c r="B9" s="62"/>
      <c r="C9" s="62"/>
      <c r="D9" s="329" t="s">
        <v>38</v>
      </c>
      <c r="E9" s="330"/>
      <c r="F9" s="302">
        <f>IF(SUMMARY!$E7="","",SUMMARY!$E7)</f>
        <v>2020</v>
      </c>
      <c r="G9" s="303"/>
      <c r="H9" s="304"/>
      <c r="I9" s="302">
        <f>IF(SUMMARY!$E8="","",SUMMARY!$E8)</f>
        <v>2021</v>
      </c>
      <c r="J9" s="303"/>
      <c r="K9" s="304"/>
      <c r="L9" s="302">
        <f>IF(SUMMARY!$E9="","",SUMMARY!$E9)</f>
        <v>2022</v>
      </c>
      <c r="M9" s="303"/>
      <c r="N9" s="304"/>
      <c r="O9" s="302">
        <f>IF(SUMMARY!$E10="","",SUMMARY!$E10)</f>
        <v>2019</v>
      </c>
      <c r="P9" s="303"/>
      <c r="Q9" s="304"/>
      <c r="R9" s="302">
        <f>IF(SUMMARY!$E11="","",SUMMARY!$E11)</f>
        <v>2021</v>
      </c>
      <c r="S9" s="303"/>
      <c r="T9" s="304"/>
      <c r="U9" s="302">
        <f>IF(SUMMARY!$E12="","",SUMMARY!$E12)</f>
        <v>2022</v>
      </c>
      <c r="V9" s="303"/>
      <c r="W9" s="304"/>
      <c r="X9" s="302">
        <f>IF(SUMMARY!$E13="","",SUMMARY!$E13)</f>
        <v>2020</v>
      </c>
      <c r="Y9" s="303"/>
      <c r="Z9" s="304"/>
      <c r="AA9" s="302">
        <f>IF(SUMMARY!$E14="","",SUMMARY!$E14)</f>
        <v>2023</v>
      </c>
      <c r="AB9" s="303"/>
      <c r="AC9" s="304"/>
      <c r="AD9" s="302">
        <f>IF(SUMMARY!$E15="","",SUMMARY!$E15)</f>
        <v>2021</v>
      </c>
      <c r="AE9" s="303"/>
      <c r="AF9" s="304"/>
      <c r="AG9" s="302">
        <f>IF(SUMMARY!$E16="","",SUMMARY!$E16)</f>
        <v>2018</v>
      </c>
      <c r="AH9" s="303"/>
      <c r="AI9" s="304"/>
      <c r="AJ9" s="302">
        <f>IF(SUMMARY!$E17="","",SUMMARY!$E17)</f>
        <v>2018</v>
      </c>
      <c r="AK9" s="303"/>
      <c r="AL9" s="304"/>
      <c r="AM9" s="302" t="str">
        <f>IF(SUMMARY!$E18="","",SUMMARY!$E18)</f>
        <v/>
      </c>
      <c r="AN9" s="303"/>
      <c r="AO9" s="304"/>
      <c r="AP9" s="302" t="str">
        <f>IF(SUMMARY!$E19="","",SUMMARY!$E19)</f>
        <v/>
      </c>
      <c r="AQ9" s="303"/>
      <c r="AR9" s="304"/>
      <c r="AS9" s="302" t="str">
        <f>IF(SUMMARY!$E20="","",SUMMARY!$E20)</f>
        <v/>
      </c>
      <c r="AT9" s="303"/>
      <c r="AU9" s="304"/>
      <c r="AV9" s="302" t="str">
        <f>IF(SUMMARY!$E21="","",SUMMARY!$E21)</f>
        <v/>
      </c>
      <c r="AW9" s="303"/>
      <c r="AX9" s="304"/>
      <c r="AY9" s="302" t="str">
        <f>IF(SUMMARY!$E22="","",SUMMARY!$E22)</f>
        <v/>
      </c>
      <c r="AZ9" s="303"/>
      <c r="BA9" s="304"/>
      <c r="BB9" s="302" t="str">
        <f>IF(SUMMARY!$E23="","",SUMMARY!$E23)</f>
        <v/>
      </c>
      <c r="BC9" s="303"/>
      <c r="BD9" s="304"/>
      <c r="BE9" s="302" t="str">
        <f>IF(SUMMARY!$E24="","",SUMMARY!$E24)</f>
        <v/>
      </c>
      <c r="BF9" s="303"/>
      <c r="BG9" s="304"/>
      <c r="BH9" s="302" t="str">
        <f>IF(SUMMARY!$E25="","",SUMMARY!$E25)</f>
        <v/>
      </c>
      <c r="BI9" s="303"/>
      <c r="BJ9" s="304"/>
      <c r="BK9" s="302" t="str">
        <f>IF(SUMMARY!$E26="","",SUMMARY!$E26)</f>
        <v/>
      </c>
      <c r="BL9" s="303"/>
      <c r="BM9" s="304"/>
      <c r="BN9" s="302" t="str">
        <f>IF(SUMMARY!$E27="","",SUMMARY!$E27)</f>
        <v/>
      </c>
      <c r="BO9" s="303"/>
      <c r="BP9" s="304"/>
      <c r="BQ9" s="302" t="str">
        <f>IF(SUMMARY!$E28="","",SUMMARY!$E28)</f>
        <v/>
      </c>
      <c r="BR9" s="303"/>
      <c r="BS9" s="304"/>
      <c r="BT9" s="302" t="str">
        <f>IF(SUMMARY!$E29="","",SUMMARY!$E29)</f>
        <v/>
      </c>
      <c r="BU9" s="303"/>
      <c r="BV9" s="304"/>
      <c r="BW9" s="302" t="str">
        <f>IF(SUMMARY!$E30="","",SUMMARY!$E30)</f>
        <v/>
      </c>
      <c r="BX9" s="303"/>
      <c r="BY9" s="304"/>
      <c r="BZ9" s="302" t="str">
        <f>IF(SUMMARY!$E31="","",SUMMARY!$E31)</f>
        <v/>
      </c>
      <c r="CA9" s="303"/>
      <c r="CB9" s="304"/>
      <c r="CC9" s="302" t="str">
        <f>IF(SUMMARY!$E32="","",SUMMARY!$E32)</f>
        <v/>
      </c>
      <c r="CD9" s="303"/>
      <c r="CE9" s="304"/>
      <c r="CF9" s="302" t="str">
        <f>IF(SUMMARY!$E33="","",SUMMARY!$E33)</f>
        <v/>
      </c>
      <c r="CG9" s="303"/>
      <c r="CH9" s="304"/>
      <c r="CI9" s="302" t="str">
        <f>IF(SUMMARY!$E34="","",SUMMARY!$E34)</f>
        <v/>
      </c>
      <c r="CJ9" s="303"/>
      <c r="CK9" s="304"/>
      <c r="CL9" s="302" t="str">
        <f>IF(SUMMARY!$E35="","",SUMMARY!$E35)</f>
        <v/>
      </c>
      <c r="CM9" s="303"/>
      <c r="CN9" s="303"/>
      <c r="CO9" s="302" t="str">
        <f>IF(SUMMARY!$E36="","",SUMMARY!$E36)</f>
        <v/>
      </c>
      <c r="CP9" s="303"/>
      <c r="CQ9" s="303"/>
    </row>
    <row r="10" spans="1:95" s="14" customFormat="1" ht="15" customHeight="1" x14ac:dyDescent="0.3">
      <c r="A10" s="62" t="s">
        <v>36</v>
      </c>
      <c r="B10" s="62"/>
      <c r="C10" s="62"/>
      <c r="D10" s="329" t="s">
        <v>39</v>
      </c>
      <c r="E10" s="330"/>
      <c r="F10" s="302" t="str">
        <f>IF(SUMMARY!$F7="","",SUMMARY!$F7)</f>
        <v>MACHINE LEARNING TECHNIQUES TO PREDICT IN-HOSPITAL CARDIOVASCULAR OUTCOMES IN ELDERLY PATIENTS PRESENTING WITH ACUTE MYOCARDIAL INFARCTION</v>
      </c>
      <c r="G10" s="303"/>
      <c r="H10" s="304"/>
      <c r="I10" s="302" t="str">
        <f>IF(SUMMARY!$F8="","",SUMMARY!$F8)</f>
        <v>A novel tool for highly reliable and accurate prediction of multiple complications in patients undergoing percutaneous coronary intervention</v>
      </c>
      <c r="J10" s="303"/>
      <c r="K10" s="304"/>
      <c r="L10" s="302" t="str">
        <f>IF(SUMMARY!$F9="","",SUMMARY!$F9)</f>
        <v>Merging Machine Learning and Patient Preference: A Contemporary, Comprehensive, Patient-Centered Tool for Risk Prediction Prior to Percutaneous Coronary Intervention</v>
      </c>
      <c r="M10" s="303"/>
      <c r="N10" s="304"/>
      <c r="O10" s="302" t="str">
        <f>IF(SUMMARY!$F10="","",SUMMARY!$F10)</f>
        <v>Comparison of Machine Learning Methods With National Cardiovascular Data Registry Models for Prediction of Risk of Bleeding After Percutaneous Coronary Intervention</v>
      </c>
      <c r="P10" s="303"/>
      <c r="Q10" s="304"/>
      <c r="R10" s="302" t="str">
        <f>IF(SUMMARY!$F11="","",SUMMARY!$F11)</f>
        <v>Artificial intelligence in percutaneous coronary intervention: improved risk prediction of PCI-related complications using an artificial neural network</v>
      </c>
      <c r="S10" s="303"/>
      <c r="T10" s="304"/>
      <c r="U10" s="302" t="str">
        <f>IF(SUMMARY!$F12="","",SUMMARY!$F12)</f>
        <v>Machine learning models for prediction of adverse events after percutaneous coronary intervention</v>
      </c>
      <c r="V10" s="303"/>
      <c r="W10" s="304"/>
      <c r="X10" s="302" t="str">
        <f>IF(SUMMARY!$F13="","",SUMMARY!$F13)</f>
        <v>Machine learning on high-dimensional data to predict bleeding post percutaneous coronary intervention</v>
      </c>
      <c r="Y10" s="303"/>
      <c r="Z10" s="304"/>
      <c r="AA10" s="302" t="str">
        <f>IF(SUMMARY!$F14="","",SUMMARY!$F14)</f>
        <v>Machine learning for prediction of bleeding in acute myocardial infarction patients after percutaneous coronary intervention</v>
      </c>
      <c r="AB10" s="303"/>
      <c r="AC10" s="304"/>
      <c r="AD10" s="302" t="str">
        <f>IF(SUMMARY!$F15="","",SUMMARY!$F15)</f>
        <v>A dynamic model to estimate evolving risk of major bleeding after percutaneous coronary intervention</v>
      </c>
      <c r="AE10" s="303"/>
      <c r="AF10" s="304"/>
      <c r="AG10" s="302" t="str">
        <f>IF(SUMMARY!$F16="","",SUMMARY!$F16)</f>
        <v>A pragmatic approach for mortality prediction after surgery in infective endocarditis: optimizing and refining EuroSCORE</v>
      </c>
      <c r="AH10" s="303"/>
      <c r="AI10" s="304"/>
      <c r="AJ10" s="302" t="str">
        <f>IF(SUMMARY!$F17="","",SUMMARY!$F17)</f>
        <v>A pragmatic approach for mortality prediction after surgery in infective endocarditis: optimizing and refining EuroSCORE</v>
      </c>
      <c r="AK10" s="303"/>
      <c r="AL10" s="304"/>
      <c r="AM10" s="302" t="str">
        <f>IF(SUMMARY!$F18="","",SUMMARY!$F18)</f>
        <v/>
      </c>
      <c r="AN10" s="303"/>
      <c r="AO10" s="304"/>
      <c r="AP10" s="302" t="str">
        <f>IF(SUMMARY!$F19="","",SUMMARY!$F19)</f>
        <v/>
      </c>
      <c r="AQ10" s="303"/>
      <c r="AR10" s="304"/>
      <c r="AS10" s="302" t="str">
        <f>IF(SUMMARY!$F20="","",SUMMARY!$F20)</f>
        <v/>
      </c>
      <c r="AT10" s="303"/>
      <c r="AU10" s="304"/>
      <c r="AV10" s="302" t="str">
        <f>IF(SUMMARY!$F21="","",SUMMARY!$F21)</f>
        <v/>
      </c>
      <c r="AW10" s="303"/>
      <c r="AX10" s="304"/>
      <c r="AY10" s="302" t="str">
        <f>IF(SUMMARY!$F22="","",SUMMARY!$F22)</f>
        <v/>
      </c>
      <c r="AZ10" s="303"/>
      <c r="BA10" s="304"/>
      <c r="BB10" s="302" t="str">
        <f>IF(SUMMARY!$F23="","",SUMMARY!$F23)</f>
        <v/>
      </c>
      <c r="BC10" s="303"/>
      <c r="BD10" s="304"/>
      <c r="BE10" s="302" t="str">
        <f>IF(SUMMARY!$F24="","",SUMMARY!$F24)</f>
        <v/>
      </c>
      <c r="BF10" s="303"/>
      <c r="BG10" s="304"/>
      <c r="BH10" s="302" t="str">
        <f>IF(SUMMARY!$F25="","",SUMMARY!$F25)</f>
        <v/>
      </c>
      <c r="BI10" s="303"/>
      <c r="BJ10" s="304"/>
      <c r="BK10" s="302" t="str">
        <f>IF(SUMMARY!$F26="","",SUMMARY!$F26)</f>
        <v/>
      </c>
      <c r="BL10" s="303"/>
      <c r="BM10" s="304"/>
      <c r="BN10" s="302" t="str">
        <f>IF(SUMMARY!$F27="","",SUMMARY!$F27)</f>
        <v/>
      </c>
      <c r="BO10" s="303"/>
      <c r="BP10" s="304"/>
      <c r="BQ10" s="302" t="str">
        <f>IF(SUMMARY!$F28="","",SUMMARY!$F28)</f>
        <v/>
      </c>
      <c r="BR10" s="303"/>
      <c r="BS10" s="304"/>
      <c r="BT10" s="302" t="str">
        <f>IF(SUMMARY!$F29="","",SUMMARY!$F29)</f>
        <v/>
      </c>
      <c r="BU10" s="303"/>
      <c r="BV10" s="304"/>
      <c r="BW10" s="302" t="str">
        <f>IF(SUMMARY!$F30="","",SUMMARY!$F30)</f>
        <v/>
      </c>
      <c r="BX10" s="303"/>
      <c r="BY10" s="304"/>
      <c r="BZ10" s="302" t="str">
        <f>IF(SUMMARY!$F31="","",SUMMARY!$F31)</f>
        <v/>
      </c>
      <c r="CA10" s="303"/>
      <c r="CB10" s="304"/>
      <c r="CC10" s="302" t="str">
        <f>IF(SUMMARY!$F32="","",SUMMARY!$F32)</f>
        <v/>
      </c>
      <c r="CD10" s="303"/>
      <c r="CE10" s="304"/>
      <c r="CF10" s="302" t="str">
        <f>IF(SUMMARY!$F33="","",SUMMARY!$F33)</f>
        <v/>
      </c>
      <c r="CG10" s="303"/>
      <c r="CH10" s="304"/>
      <c r="CI10" s="302" t="str">
        <f>IF(SUMMARY!$F34="","",SUMMARY!$F34)</f>
        <v/>
      </c>
      <c r="CJ10" s="303"/>
      <c r="CK10" s="304"/>
      <c r="CL10" s="302" t="str">
        <f>IF(SUMMARY!$F35="","",SUMMARY!$F35)</f>
        <v/>
      </c>
      <c r="CM10" s="303"/>
      <c r="CN10" s="303"/>
      <c r="CO10" s="302" t="str">
        <f>IF(SUMMARY!$F36="","",SUMMARY!$F36)</f>
        <v/>
      </c>
      <c r="CP10" s="303"/>
      <c r="CQ10" s="303"/>
    </row>
    <row r="11" spans="1:95" s="14" customFormat="1" ht="15" customHeight="1" x14ac:dyDescent="0.3">
      <c r="A11" s="63" t="s">
        <v>36</v>
      </c>
      <c r="B11" s="63"/>
      <c r="C11" s="63"/>
      <c r="D11" s="329" t="s">
        <v>40</v>
      </c>
      <c r="E11" s="330"/>
      <c r="F11" s="302" t="str">
        <f>IF(SUMMARY!$G7="","",SUMMARY!$G7)</f>
        <v xml:space="preserve">Journal of the American College of Cardiology </v>
      </c>
      <c r="G11" s="303"/>
      <c r="H11" s="304"/>
      <c r="I11" s="302" t="str">
        <f>IF(SUMMARY!$G8="","",SUMMARY!$G8)</f>
        <v>Circulation</v>
      </c>
      <c r="J11" s="303"/>
      <c r="K11" s="304"/>
      <c r="L11" s="302" t="str">
        <f>IF(SUMMARY!$G9="","",SUMMARY!$G9)</f>
        <v>Circulation</v>
      </c>
      <c r="M11" s="303"/>
      <c r="N11" s="304"/>
      <c r="O11" s="302" t="str">
        <f>IF(SUMMARY!$G10="","",SUMMARY!$G10)</f>
        <v>JAMA network open</v>
      </c>
      <c r="P11" s="303"/>
      <c r="Q11" s="304"/>
      <c r="R11" s="302" t="str">
        <f>IF(SUMMARY!$G11="","",SUMMARY!$G11)</f>
        <v>BMJ Innovations</v>
      </c>
      <c r="S11" s="303"/>
      <c r="T11" s="304"/>
      <c r="U11" s="302" t="str">
        <f>IF(SUMMARY!$G12="","",SUMMARY!$G12)</f>
        <v>Scientific Reports</v>
      </c>
      <c r="V11" s="303"/>
      <c r="W11" s="304"/>
      <c r="X11" s="302" t="str">
        <f>IF(SUMMARY!$G13="","",SUMMARY!$G13)</f>
        <v>Journal of Invasive Cardiology</v>
      </c>
      <c r="Y11" s="303"/>
      <c r="Z11" s="304"/>
      <c r="AA11" s="302" t="str">
        <f>IF(SUMMARY!$G14="","",SUMMARY!$G14)</f>
        <v>Therapeutic advances in chronic disease</v>
      </c>
      <c r="AB11" s="303"/>
      <c r="AC11" s="304"/>
      <c r="AD11" s="302" t="str">
        <f>IF(SUMMARY!$G15="","",SUMMARY!$G15)</f>
        <v>medRxiv</v>
      </c>
      <c r="AE11" s="303"/>
      <c r="AF11" s="304"/>
      <c r="AG11" s="302" t="str">
        <f>IF(SUMMARY!$G16="","",SUMMARY!$G16)</f>
        <v>Clinical Microbiology and Infection</v>
      </c>
      <c r="AH11" s="303"/>
      <c r="AI11" s="304"/>
      <c r="AJ11" s="302" t="str">
        <f>IF(SUMMARY!$G17="","",SUMMARY!$G17)</f>
        <v>Clinical Microbiology and Infection</v>
      </c>
      <c r="AK11" s="303"/>
      <c r="AL11" s="304"/>
      <c r="AM11" s="302" t="str">
        <f>IF(SUMMARY!$G18="","",SUMMARY!$G18)</f>
        <v/>
      </c>
      <c r="AN11" s="303"/>
      <c r="AO11" s="304"/>
      <c r="AP11" s="302" t="str">
        <f>IF(SUMMARY!$G19="","",SUMMARY!$G19)</f>
        <v/>
      </c>
      <c r="AQ11" s="303"/>
      <c r="AR11" s="304"/>
      <c r="AS11" s="302" t="str">
        <f>IF(SUMMARY!$G20="","",SUMMARY!$G20)</f>
        <v/>
      </c>
      <c r="AT11" s="303"/>
      <c r="AU11" s="304"/>
      <c r="AV11" s="302" t="str">
        <f>IF(SUMMARY!$G21="","",SUMMARY!$G21)</f>
        <v/>
      </c>
      <c r="AW11" s="303"/>
      <c r="AX11" s="304"/>
      <c r="AY11" s="302" t="str">
        <f>IF(SUMMARY!$G22="","",SUMMARY!$G22)</f>
        <v/>
      </c>
      <c r="AZ11" s="303"/>
      <c r="BA11" s="304"/>
      <c r="BB11" s="302" t="str">
        <f>IF(SUMMARY!$G23="","",SUMMARY!$G23)</f>
        <v/>
      </c>
      <c r="BC11" s="303"/>
      <c r="BD11" s="304"/>
      <c r="BE11" s="302" t="str">
        <f>IF(SUMMARY!$G24="","",SUMMARY!$G24)</f>
        <v/>
      </c>
      <c r="BF11" s="303"/>
      <c r="BG11" s="304"/>
      <c r="BH11" s="302" t="str">
        <f>IF(SUMMARY!$G25="","",SUMMARY!$G25)</f>
        <v/>
      </c>
      <c r="BI11" s="303"/>
      <c r="BJ11" s="304"/>
      <c r="BK11" s="302" t="str">
        <f>IF(SUMMARY!$G26="","",SUMMARY!$G26)</f>
        <v/>
      </c>
      <c r="BL11" s="303"/>
      <c r="BM11" s="304"/>
      <c r="BN11" s="302" t="str">
        <f>IF(SUMMARY!$G27="","",SUMMARY!$G27)</f>
        <v/>
      </c>
      <c r="BO11" s="303"/>
      <c r="BP11" s="304"/>
      <c r="BQ11" s="302" t="str">
        <f>IF(SUMMARY!$G28="","",SUMMARY!$G28)</f>
        <v/>
      </c>
      <c r="BR11" s="303"/>
      <c r="BS11" s="304"/>
      <c r="BT11" s="302" t="str">
        <f>IF(SUMMARY!$G29="","",SUMMARY!$G29)</f>
        <v/>
      </c>
      <c r="BU11" s="303"/>
      <c r="BV11" s="304"/>
      <c r="BW11" s="302" t="str">
        <f>IF(SUMMARY!$G30="","",SUMMARY!$G30)</f>
        <v/>
      </c>
      <c r="BX11" s="303"/>
      <c r="BY11" s="304"/>
      <c r="BZ11" s="302" t="str">
        <f>IF(SUMMARY!$G31="","",SUMMARY!$G31)</f>
        <v/>
      </c>
      <c r="CA11" s="303"/>
      <c r="CB11" s="304"/>
      <c r="CC11" s="302" t="str">
        <f>IF(SUMMARY!$G32="","",SUMMARY!$G32)</f>
        <v/>
      </c>
      <c r="CD11" s="303"/>
      <c r="CE11" s="304"/>
      <c r="CF11" s="302" t="str">
        <f>IF(SUMMARY!$G33="","",SUMMARY!$G33)</f>
        <v/>
      </c>
      <c r="CG11" s="303"/>
      <c r="CH11" s="304"/>
      <c r="CI11" s="302" t="str">
        <f>IF(SUMMARY!$G34="","",SUMMARY!$G34)</f>
        <v/>
      </c>
      <c r="CJ11" s="303"/>
      <c r="CK11" s="304"/>
      <c r="CL11" s="302" t="str">
        <f>IF(SUMMARY!$G35="","",SUMMARY!$G35)</f>
        <v/>
      </c>
      <c r="CM11" s="303"/>
      <c r="CN11" s="303"/>
      <c r="CO11" s="302" t="str">
        <f>IF(SUMMARY!$G36="","",SUMMARY!$G36)</f>
        <v/>
      </c>
      <c r="CP11" s="303"/>
      <c r="CQ11" s="303"/>
    </row>
    <row r="12" spans="1:95" s="14" customFormat="1" ht="15" customHeight="1" x14ac:dyDescent="0.3">
      <c r="A12" s="63" t="s">
        <v>36</v>
      </c>
      <c r="B12" s="63"/>
      <c r="C12" s="63"/>
      <c r="D12" s="333" t="s">
        <v>41</v>
      </c>
      <c r="E12" s="334"/>
      <c r="F12" s="299" t="str">
        <f>IF(SUMMARY!$H7="","",SUMMARY!$H7)</f>
        <v>XGBoost</v>
      </c>
      <c r="G12" s="300"/>
      <c r="H12" s="301"/>
      <c r="I12" s="299" t="str">
        <f>IF(SUMMARY!$H8="","",SUMMARY!$H8)</f>
        <v>Random Forest</v>
      </c>
      <c r="J12" s="300"/>
      <c r="K12" s="301"/>
      <c r="L12" s="299" t="str">
        <f>IF(SUMMARY!$H9="","",SUMMARY!$H9)</f>
        <v>XGBoost</v>
      </c>
      <c r="M12" s="300"/>
      <c r="N12" s="301"/>
      <c r="O12" s="299" t="str">
        <f>IF(SUMMARY!$H10="","",SUMMARY!$H10)</f>
        <v>Blended model with gradient descent boosting</v>
      </c>
      <c r="P12" s="300"/>
      <c r="Q12" s="301"/>
      <c r="R12" s="299" t="str">
        <f>IF(SUMMARY!$H11="","",SUMMARY!$H11)</f>
        <v>MLP</v>
      </c>
      <c r="S12" s="300"/>
      <c r="T12" s="301"/>
      <c r="U12" s="299" t="str">
        <f>IF(SUMMARY!$H12="","",SUMMARY!$H12)</f>
        <v>XGBoost</v>
      </c>
      <c r="V12" s="300"/>
      <c r="W12" s="301"/>
      <c r="X12" s="299" t="str">
        <f>IF(SUMMARY!$H13="","",SUMMARY!$H13)</f>
        <v>AI-BR model</v>
      </c>
      <c r="Y12" s="300"/>
      <c r="Z12" s="301"/>
      <c r="AA12" s="299" t="str">
        <f>IF(SUMMARY!$H14="","",SUMMARY!$H14)</f>
        <v>XGBoost</v>
      </c>
      <c r="AB12" s="300"/>
      <c r="AC12" s="301"/>
      <c r="AD12" s="299" t="str">
        <f>IF(SUMMARY!$H15="","",SUMMARY!$H15)</f>
        <v>XGBoost</v>
      </c>
      <c r="AE12" s="300"/>
      <c r="AF12" s="301"/>
      <c r="AG12" s="299" t="str">
        <f>IF(SUMMARY!$H16="","",SUMMARY!$H16)</f>
        <v>Specific EuroSCORE-I</v>
      </c>
      <c r="AH12" s="300"/>
      <c r="AI12" s="301"/>
      <c r="AJ12" s="299" t="str">
        <f>IF(SUMMARY!$H17="","",SUMMARY!$H17)</f>
        <v>Specific EuroSCORE-II</v>
      </c>
      <c r="AK12" s="300"/>
      <c r="AL12" s="301"/>
      <c r="AM12" s="299" t="str">
        <f>IF(SUMMARY!$H18="","",SUMMARY!$H18)</f>
        <v/>
      </c>
      <c r="AN12" s="300"/>
      <c r="AO12" s="301"/>
      <c r="AP12" s="299" t="str">
        <f>IF(SUMMARY!$H19="","",SUMMARY!$H19)</f>
        <v/>
      </c>
      <c r="AQ12" s="300"/>
      <c r="AR12" s="301"/>
      <c r="AS12" s="299" t="str">
        <f>IF(SUMMARY!$H20="","",SUMMARY!$H20)</f>
        <v/>
      </c>
      <c r="AT12" s="300"/>
      <c r="AU12" s="301"/>
      <c r="AV12" s="299" t="str">
        <f>IF(SUMMARY!$H21="","",SUMMARY!$H21)</f>
        <v/>
      </c>
      <c r="AW12" s="300"/>
      <c r="AX12" s="301"/>
      <c r="AY12" s="299" t="str">
        <f>IF(SUMMARY!$H22="","",SUMMARY!$H22)</f>
        <v/>
      </c>
      <c r="AZ12" s="300"/>
      <c r="BA12" s="301"/>
      <c r="BB12" s="299" t="str">
        <f>IF(SUMMARY!$H23="","",SUMMARY!$H23)</f>
        <v/>
      </c>
      <c r="BC12" s="300"/>
      <c r="BD12" s="301"/>
      <c r="BE12" s="299" t="str">
        <f>IF(SUMMARY!$H24="","",SUMMARY!$H24)</f>
        <v/>
      </c>
      <c r="BF12" s="300"/>
      <c r="BG12" s="301"/>
      <c r="BH12" s="299" t="str">
        <f>IF(SUMMARY!$H25="","",SUMMARY!$H25)</f>
        <v/>
      </c>
      <c r="BI12" s="300"/>
      <c r="BJ12" s="301"/>
      <c r="BK12" s="299" t="str">
        <f>IF(SUMMARY!$H26="","",SUMMARY!$H26)</f>
        <v/>
      </c>
      <c r="BL12" s="300"/>
      <c r="BM12" s="301"/>
      <c r="BN12" s="299" t="str">
        <f>IF(SUMMARY!$H27="","",SUMMARY!$H27)</f>
        <v/>
      </c>
      <c r="BO12" s="300"/>
      <c r="BP12" s="301"/>
      <c r="BQ12" s="299" t="str">
        <f>IF(SUMMARY!$H28="","",SUMMARY!$H28)</f>
        <v/>
      </c>
      <c r="BR12" s="300"/>
      <c r="BS12" s="301"/>
      <c r="BT12" s="299" t="str">
        <f>IF(SUMMARY!$H29="","",SUMMARY!$H29)</f>
        <v/>
      </c>
      <c r="BU12" s="300"/>
      <c r="BV12" s="301"/>
      <c r="BW12" s="299" t="str">
        <f>IF(SUMMARY!$H30="","",SUMMARY!$H30)</f>
        <v/>
      </c>
      <c r="BX12" s="300"/>
      <c r="BY12" s="301"/>
      <c r="BZ12" s="299" t="str">
        <f>IF(SUMMARY!$H31="","",SUMMARY!$H31)</f>
        <v/>
      </c>
      <c r="CA12" s="300"/>
      <c r="CB12" s="301"/>
      <c r="CC12" s="299" t="str">
        <f>IF(SUMMARY!$H32="","",SUMMARY!$H32)</f>
        <v/>
      </c>
      <c r="CD12" s="300"/>
      <c r="CE12" s="301"/>
      <c r="CF12" s="299" t="str">
        <f>IF(SUMMARY!$H33="","",SUMMARY!$H33)</f>
        <v/>
      </c>
      <c r="CG12" s="300"/>
      <c r="CH12" s="301"/>
      <c r="CI12" s="299" t="str">
        <f>IF(SUMMARY!$H34="","",SUMMARY!$H34)</f>
        <v/>
      </c>
      <c r="CJ12" s="300"/>
      <c r="CK12" s="301"/>
      <c r="CL12" s="299" t="str">
        <f>IF(SUMMARY!$H35="","",SUMMARY!$H35)</f>
        <v/>
      </c>
      <c r="CM12" s="300"/>
      <c r="CN12" s="300"/>
      <c r="CO12" s="299" t="str">
        <f>IF(SUMMARY!$H36="","",SUMMARY!$H36)</f>
        <v/>
      </c>
      <c r="CP12" s="300"/>
      <c r="CQ12" s="300"/>
    </row>
    <row r="13" spans="1:95" s="1" customFormat="1" ht="18.75" customHeight="1" x14ac:dyDescent="0.3">
      <c r="A13" s="337" t="s">
        <v>42</v>
      </c>
      <c r="B13" s="337"/>
      <c r="C13" s="337"/>
      <c r="D13" s="337"/>
      <c r="E13" s="337"/>
      <c r="F13" s="48">
        <f>IF(SUMMARY!$B$7=TRUE,IF(F14="",0,1),"")</f>
        <v>1</v>
      </c>
      <c r="G13" s="50"/>
      <c r="H13" s="50"/>
      <c r="I13" s="50">
        <f>IF(SUMMARY!$B$8=TRUE,IF(I14="",0,1),"")</f>
        <v>1</v>
      </c>
      <c r="J13" s="50"/>
      <c r="K13" s="50"/>
      <c r="L13" s="50">
        <f>IF(SUMMARY!$B$9=TRUE,IF(L14="",0,1),"")</f>
        <v>1</v>
      </c>
      <c r="M13" s="50"/>
      <c r="N13" s="50"/>
      <c r="O13" s="50">
        <f>IF(SUMMARY!$B$10=TRUE,IF(O14="",0,1),"")</f>
        <v>1</v>
      </c>
      <c r="P13" s="50"/>
      <c r="Q13" s="50"/>
      <c r="R13" s="50">
        <f>IF(SUMMARY!$B$11=TRUE,IF(R14="",0,1),"")</f>
        <v>1</v>
      </c>
      <c r="S13" s="50"/>
      <c r="T13" s="50"/>
      <c r="U13" s="50">
        <f>IF(SUMMARY!$B$12=TRUE,IF(U14="",0,1),"")</f>
        <v>1</v>
      </c>
      <c r="V13" s="50"/>
      <c r="W13" s="50"/>
      <c r="X13" s="50">
        <f>IF(SUMMARY!$B$13=TRUE,IF(X14="",0,1),"")</f>
        <v>1</v>
      </c>
      <c r="Y13" s="50"/>
      <c r="Z13" s="50"/>
      <c r="AA13" s="50">
        <f>IF(SUMMARY!$B$14=TRUE,IF(AA14="",0,1),"")</f>
        <v>1</v>
      </c>
      <c r="AB13" s="50"/>
      <c r="AC13" s="50"/>
      <c r="AD13" s="50">
        <f>IF(SUMMARY!$B$15=TRUE,IF(AD14="",0,1),"")</f>
        <v>1</v>
      </c>
      <c r="AE13" s="50"/>
      <c r="AF13" s="50"/>
      <c r="AG13" s="50" t="str">
        <f>IF(SUMMARY!$B$16=TRUE,IF(AG14="",0,1),"")</f>
        <v/>
      </c>
      <c r="AH13" s="50"/>
      <c r="AI13" s="50"/>
      <c r="AJ13" s="50" t="str">
        <f>IF(SUMMARY!$B$17=TRUE,IF(AJ14="",0,1),"")</f>
        <v/>
      </c>
      <c r="AK13" s="50"/>
      <c r="AL13" s="50"/>
      <c r="AM13" s="50" t="str">
        <f>IF(SUMMARY!$B$18=TRUE,IF(AM14="",0,1),"")</f>
        <v/>
      </c>
      <c r="AN13" s="50"/>
      <c r="AO13" s="50"/>
      <c r="AP13" s="50" t="str">
        <f>IF(SUMMARY!$B$19=TRUE,IF(AP14="",0,1),"")</f>
        <v/>
      </c>
      <c r="AQ13" s="50"/>
      <c r="AR13" s="50"/>
      <c r="AS13" s="50" t="str">
        <f>IF(SUMMARY!$B$20=TRUE,IF(AS14="",0,1),"")</f>
        <v/>
      </c>
      <c r="AT13" s="50"/>
      <c r="AU13" s="50"/>
      <c r="AV13" s="50" t="str">
        <f>IF(SUMMARY!$B$21=TRUE,IF(AV14="",0,1),"")</f>
        <v/>
      </c>
      <c r="AW13" s="50"/>
      <c r="AX13" s="50"/>
      <c r="AY13" s="50" t="str">
        <f>IF(SUMMARY!$B$22=TRUE,IF(AY14="",0,1),"")</f>
        <v/>
      </c>
      <c r="AZ13" s="50"/>
      <c r="BA13" s="50"/>
      <c r="BB13" s="50" t="str">
        <f>IF(SUMMARY!$B$23=TRUE,IF(BB14="",0,1),"")</f>
        <v/>
      </c>
      <c r="BC13" s="50"/>
      <c r="BD13" s="50"/>
      <c r="BE13" s="50" t="str">
        <f>IF(SUMMARY!$B$24=TRUE,IF(BE14="",0,1),"")</f>
        <v/>
      </c>
      <c r="BF13" s="50"/>
      <c r="BG13" s="50"/>
      <c r="BH13" s="50" t="str">
        <f>IF(SUMMARY!$B$25=TRUE,IF(BH14="",0,1),"")</f>
        <v/>
      </c>
      <c r="BI13" s="50"/>
      <c r="BJ13" s="50"/>
      <c r="BK13" s="50" t="str">
        <f>IF(SUMMARY!$B$26=TRUE,IF(BK14="",0,1),"")</f>
        <v/>
      </c>
      <c r="BL13" s="50"/>
      <c r="BM13" s="50"/>
      <c r="BN13" s="50" t="str">
        <f>IF(SUMMARY!$B$27=TRUE,IF(BN14="",0,1),"")</f>
        <v/>
      </c>
      <c r="BO13" s="50"/>
      <c r="BP13" s="50"/>
      <c r="BQ13" s="50" t="str">
        <f>IF(SUMMARY!$B$28=TRUE,IF(BQ14="",0,1),"")</f>
        <v/>
      </c>
      <c r="BR13" s="50"/>
      <c r="BS13" s="50"/>
      <c r="BT13" s="50" t="str">
        <f>IF(SUMMARY!$B$29=TRUE,IF(BT14="",0,1),"")</f>
        <v/>
      </c>
      <c r="BU13" s="50"/>
      <c r="BV13" s="50"/>
      <c r="BW13" s="50" t="str">
        <f>IF(SUMMARY!$B$30=TRUE,IF(BW14="",0,1),"")</f>
        <v/>
      </c>
      <c r="BX13" s="50"/>
      <c r="BY13" s="50"/>
      <c r="BZ13" s="50" t="str">
        <f>IF(SUMMARY!$B$31=TRUE,IF(BZ14="",0,1),"")</f>
        <v/>
      </c>
      <c r="CA13" s="50"/>
      <c r="CB13" s="50"/>
      <c r="CC13" s="50" t="str">
        <f>IF(SUMMARY!$B$32=TRUE,IF(CC14="",0,1),"")</f>
        <v/>
      </c>
      <c r="CD13" s="50"/>
      <c r="CE13" s="50"/>
      <c r="CF13" s="50" t="str">
        <f>IF(SUMMARY!$B$33=TRUE,IF(CF14="",0,1),"")</f>
        <v/>
      </c>
      <c r="CG13" s="50"/>
      <c r="CH13" s="50"/>
      <c r="CI13" s="50" t="str">
        <f>IF(SUMMARY!$B$34=TRUE,IF(CI14="",0,1),"")</f>
        <v/>
      </c>
      <c r="CJ13" s="50"/>
      <c r="CK13" s="50"/>
      <c r="CL13" s="50" t="str">
        <f>IF(SUMMARY!$B$35=TRUE,IF(CL14="",0,1),"")</f>
        <v/>
      </c>
      <c r="CM13" s="50"/>
      <c r="CN13" s="50"/>
      <c r="CO13" s="51" t="str">
        <f>IF(SUMMARY!$B$36=TRUE,IF(CO14="",0,1),"")</f>
        <v/>
      </c>
      <c r="CP13" s="50"/>
      <c r="CQ13" s="50"/>
    </row>
    <row r="14" spans="1:95" s="13" customFormat="1" ht="15" customHeight="1" x14ac:dyDescent="0.3">
      <c r="A14" s="206"/>
      <c r="B14" s="64" t="s">
        <v>36</v>
      </c>
      <c r="C14" s="64" t="s">
        <v>36</v>
      </c>
      <c r="D14" s="341" t="s">
        <v>43</v>
      </c>
      <c r="E14" s="342"/>
      <c r="F14" s="290" t="s">
        <v>44</v>
      </c>
      <c r="G14" s="291"/>
      <c r="H14" s="291"/>
      <c r="I14" s="290" t="s">
        <v>44</v>
      </c>
      <c r="J14" s="291"/>
      <c r="K14" s="291"/>
      <c r="L14" s="290" t="s">
        <v>44</v>
      </c>
      <c r="M14" s="291"/>
      <c r="N14" s="291"/>
      <c r="O14" s="290" t="s">
        <v>44</v>
      </c>
      <c r="P14" s="291"/>
      <c r="Q14" s="291"/>
      <c r="R14" s="290" t="s">
        <v>44</v>
      </c>
      <c r="S14" s="291"/>
      <c r="T14" s="291"/>
      <c r="U14" s="290" t="s">
        <v>44</v>
      </c>
      <c r="V14" s="291"/>
      <c r="W14" s="291"/>
      <c r="X14" s="290" t="s">
        <v>44</v>
      </c>
      <c r="Y14" s="291"/>
      <c r="Z14" s="291"/>
      <c r="AA14" s="290" t="s">
        <v>44</v>
      </c>
      <c r="AB14" s="291"/>
      <c r="AC14" s="291"/>
      <c r="AD14" s="290" t="s">
        <v>44</v>
      </c>
      <c r="AE14" s="291"/>
      <c r="AF14" s="291"/>
      <c r="AG14" s="290" t="s">
        <v>45</v>
      </c>
      <c r="AH14" s="291"/>
      <c r="AI14" s="291"/>
      <c r="AJ14" s="290" t="s">
        <v>45</v>
      </c>
      <c r="AK14" s="291"/>
      <c r="AL14" s="291"/>
      <c r="AM14" s="290"/>
      <c r="AN14" s="291"/>
      <c r="AO14" s="291"/>
      <c r="AP14" s="290"/>
      <c r="AQ14" s="291"/>
      <c r="AR14" s="291"/>
      <c r="AS14" s="290"/>
      <c r="AT14" s="291"/>
      <c r="AU14" s="291"/>
      <c r="AV14" s="290"/>
      <c r="AW14" s="291"/>
      <c r="AX14" s="291"/>
      <c r="AY14" s="290"/>
      <c r="AZ14" s="291"/>
      <c r="BA14" s="291"/>
      <c r="BB14" s="290"/>
      <c r="BC14" s="291"/>
      <c r="BD14" s="291"/>
      <c r="BE14" s="290"/>
      <c r="BF14" s="291"/>
      <c r="BG14" s="291"/>
      <c r="BH14" s="290"/>
      <c r="BI14" s="291"/>
      <c r="BJ14" s="291"/>
      <c r="BK14" s="290"/>
      <c r="BL14" s="291"/>
      <c r="BM14" s="291"/>
      <c r="BN14" s="290"/>
      <c r="BO14" s="291"/>
      <c r="BP14" s="291"/>
      <c r="BQ14" s="290"/>
      <c r="BR14" s="291"/>
      <c r="BS14" s="291"/>
      <c r="BT14" s="290"/>
      <c r="BU14" s="291"/>
      <c r="BV14" s="291"/>
      <c r="BW14" s="290"/>
      <c r="BX14" s="291"/>
      <c r="BY14" s="291"/>
      <c r="BZ14" s="290"/>
      <c r="CA14" s="291"/>
      <c r="CB14" s="291"/>
      <c r="CC14" s="290"/>
      <c r="CD14" s="291"/>
      <c r="CE14" s="291"/>
      <c r="CF14" s="290"/>
      <c r="CG14" s="291"/>
      <c r="CH14" s="291"/>
      <c r="CI14" s="290"/>
      <c r="CJ14" s="291"/>
      <c r="CK14" s="291"/>
      <c r="CL14" s="290"/>
      <c r="CM14" s="291"/>
      <c r="CN14" s="291"/>
      <c r="CO14" s="290"/>
      <c r="CP14" s="291"/>
      <c r="CQ14" s="291"/>
    </row>
    <row r="15" spans="1:95" s="1" customFormat="1" ht="18.75" customHeight="1" x14ac:dyDescent="0.3">
      <c r="A15" s="337" t="s">
        <v>46</v>
      </c>
      <c r="B15" s="337"/>
      <c r="C15" s="337"/>
      <c r="D15" s="337"/>
      <c r="E15" s="337"/>
      <c r="F15" s="48">
        <f>IF(SUMMARY!$B$7=TRUE,IF(AND(COUNTBLANK(F16:F22)=0,COUNTBLANK(F24:F28)&lt;5),1,0),"")</f>
        <v>1</v>
      </c>
      <c r="G15" s="49"/>
      <c r="H15" s="49"/>
      <c r="I15" s="50">
        <f>IF(SUMMARY!$B$8=TRUE,IF(AND(COUNTBLANK(I16:I22)=0,COUNTBLANK(I24:I28)&lt;5),1,0),"")</f>
        <v>1</v>
      </c>
      <c r="J15" s="49"/>
      <c r="K15" s="49"/>
      <c r="L15" s="50">
        <f>IF(SUMMARY!$B$9=TRUE,IF(AND(COUNTBLANK(L16:L22)=0,COUNTBLANK(L24:L28)&lt;5),1,0),"")</f>
        <v>1</v>
      </c>
      <c r="M15" s="49"/>
      <c r="N15" s="49"/>
      <c r="O15" s="50">
        <f>IF(SUMMARY!$B$10=TRUE,IF(AND(COUNTBLANK(O16:O22)=0,COUNTBLANK(O24:O28)&lt;5),1,0),"")</f>
        <v>1</v>
      </c>
      <c r="P15" s="49"/>
      <c r="Q15" s="49"/>
      <c r="R15" s="50">
        <f>IF(SUMMARY!$B$11=TRUE,IF(AND(COUNTBLANK(R16:R22)=0,COUNTBLANK(R24:R28)&lt;5),1,0),"")</f>
        <v>1</v>
      </c>
      <c r="S15" s="49"/>
      <c r="T15" s="49"/>
      <c r="U15" s="50">
        <f>IF(SUMMARY!$B$12=TRUE,IF(AND(COUNTBLANK(U16:U22)=0,COUNTBLANK(U24:U28)&lt;5),1,0),"")</f>
        <v>1</v>
      </c>
      <c r="V15" s="49"/>
      <c r="W15" s="49"/>
      <c r="X15" s="50">
        <f>IF(SUMMARY!$B$13=TRUE,IF(AND(COUNTBLANK(X16:X22)=0,COUNTBLANK(X24:X28)&lt;5),1,0),"")</f>
        <v>1</v>
      </c>
      <c r="Y15" s="49"/>
      <c r="Z15" s="49"/>
      <c r="AA15" s="50">
        <f>IF(SUMMARY!$B$14=TRUE,IF(AND(COUNTBLANK(AA16:AA22)=0,COUNTBLANK(AA24:AA28)&lt;5),1,0),"")</f>
        <v>1</v>
      </c>
      <c r="AB15" s="49"/>
      <c r="AC15" s="49"/>
      <c r="AD15" s="50">
        <f>IF(SUMMARY!$B$15=TRUE,IF(AND(COUNTBLANK(AD16:AD22)=0,COUNTBLANK(AD24:AD28)&lt;5),1,0),"")</f>
        <v>1</v>
      </c>
      <c r="AE15" s="49"/>
      <c r="AF15" s="49"/>
      <c r="AG15" s="50" t="str">
        <f>IF(SUMMARY!$B$16=TRUE,IF(AND(COUNTBLANK(AG16:AG22)=0,COUNTBLANK(AG24:AG28)&lt;5),1,0),"")</f>
        <v/>
      </c>
      <c r="AH15" s="49"/>
      <c r="AI15" s="49"/>
      <c r="AJ15" s="50" t="str">
        <f>IF(SUMMARY!$B$17=TRUE,IF(AND(COUNTBLANK(AJ16:AJ22)=0,COUNTBLANK(AJ24:AJ28)&lt;5),1,0),"")</f>
        <v/>
      </c>
      <c r="AK15" s="49"/>
      <c r="AL15" s="49"/>
      <c r="AM15" s="50" t="str">
        <f>IF(SUMMARY!$B$18=TRUE,IF(AND(COUNTBLANK(AM16:AM22)=0,COUNTBLANK(AM24:AM28)&lt;5),1,0),"")</f>
        <v/>
      </c>
      <c r="AN15" s="49"/>
      <c r="AO15" s="49"/>
      <c r="AP15" s="50" t="str">
        <f>IF(SUMMARY!$B$19=TRUE,IF(AND(COUNTBLANK(AP16:AP22)=0,COUNTBLANK(AP24:AP28)&lt;5),1,0),"")</f>
        <v/>
      </c>
      <c r="AQ15" s="49"/>
      <c r="AR15" s="49"/>
      <c r="AS15" s="50" t="str">
        <f>IF(SUMMARY!$B$20=TRUE,IF(AND(COUNTBLANK(AS16:AS22)=0,COUNTBLANK(AS24:AS28)&lt;5),1,0),"")</f>
        <v/>
      </c>
      <c r="AT15" s="49"/>
      <c r="AU15" s="49"/>
      <c r="AV15" s="50" t="str">
        <f>IF(SUMMARY!$B$21=TRUE,IF(AND(COUNTBLANK(AV16:AV22)=0,COUNTBLANK(AV24:AV28)&lt;5),1,0),"")</f>
        <v/>
      </c>
      <c r="AW15" s="49"/>
      <c r="AX15" s="49"/>
      <c r="AY15" s="50" t="str">
        <f>IF(SUMMARY!$B$22=TRUE,IF(AND(COUNTBLANK(AY16:AY22)=0,COUNTBLANK(AY24:AY28)&lt;5),1,0),"")</f>
        <v/>
      </c>
      <c r="AZ15" s="49"/>
      <c r="BA15" s="49"/>
      <c r="BB15" s="50" t="str">
        <f>IF(SUMMARY!$B$23=TRUE,IF(AND(COUNTBLANK(BB16:BB22)=0,COUNTBLANK(BB24:BB28)&lt;5),1,0),"")</f>
        <v/>
      </c>
      <c r="BC15" s="49"/>
      <c r="BD15" s="49"/>
      <c r="BE15" s="50" t="str">
        <f>IF(SUMMARY!$B$24=TRUE,IF(AND(COUNTBLANK(BE16:BE22)=0,COUNTBLANK(BE24:BE28)&lt;5),1,0),"")</f>
        <v/>
      </c>
      <c r="BF15" s="49"/>
      <c r="BG15" s="49"/>
      <c r="BH15" s="50" t="str">
        <f>IF(SUMMARY!$B$25=TRUE,IF(AND(COUNTBLANK(BH16:BH22)=0,COUNTBLANK(BH24:BH28)&lt;5),1,0),"")</f>
        <v/>
      </c>
      <c r="BI15" s="49"/>
      <c r="BJ15" s="49"/>
      <c r="BK15" s="50" t="str">
        <f>IF(SUMMARY!$B$26=TRUE,IF(AND(COUNTBLANK(BK16:BK22)=0,COUNTBLANK(BK24:BK28)&lt;5),1,0),"")</f>
        <v/>
      </c>
      <c r="BL15" s="49"/>
      <c r="BM15" s="49"/>
      <c r="BN15" s="50" t="str">
        <f>IF(SUMMARY!$B$27=TRUE,IF(AND(COUNTBLANK(BN16:BN22)=0,COUNTBLANK(BN24:BN28)&lt;5),1,0),"")</f>
        <v/>
      </c>
      <c r="BO15" s="49"/>
      <c r="BP15" s="49"/>
      <c r="BQ15" s="50" t="str">
        <f>IF(SUMMARY!$B$28=TRUE,IF(AND(COUNTBLANK(BQ16:BQ22)=0,COUNTBLANK(BQ24:BQ28)&lt;5),1,0),"")</f>
        <v/>
      </c>
      <c r="BR15" s="49"/>
      <c r="BS15" s="49"/>
      <c r="BT15" s="50" t="str">
        <f>IF(SUMMARY!$B$29=TRUE,IF(AND(COUNTBLANK(BT16:BT22)=0,COUNTBLANK(BT24:BT28)&lt;5),1,0),"")</f>
        <v/>
      </c>
      <c r="BU15" s="49"/>
      <c r="BV15" s="49"/>
      <c r="BW15" s="50" t="str">
        <f>IF(SUMMARY!$B$30=TRUE,IF(AND(COUNTBLANK(BW16:BW22)=0,COUNTBLANK(BW24:BW28)&lt;5),1,0),"")</f>
        <v/>
      </c>
      <c r="BX15" s="49"/>
      <c r="BY15" s="49"/>
      <c r="BZ15" s="50" t="str">
        <f>IF(SUMMARY!$B$31=TRUE,IF(AND(COUNTBLANK(BZ16:BZ22)=0,COUNTBLANK(BZ24:BZ28)&lt;5),1,0),"")</f>
        <v/>
      </c>
      <c r="CA15" s="49"/>
      <c r="CB15" s="49"/>
      <c r="CC15" s="50" t="str">
        <f>IF(SUMMARY!$B$32=TRUE,IF(AND(COUNTBLANK(CC16:CC22)=0,COUNTBLANK(CC24:CC28)&lt;5),1,0),"")</f>
        <v/>
      </c>
      <c r="CD15" s="49"/>
      <c r="CE15" s="49"/>
      <c r="CF15" s="50" t="str">
        <f>IF(SUMMARY!$B$33=TRUE,IF(AND(COUNTBLANK(CF16:CF22)=0,COUNTBLANK(CF24:CF28)&lt;5),1,0),"")</f>
        <v/>
      </c>
      <c r="CG15" s="49"/>
      <c r="CH15" s="49"/>
      <c r="CI15" s="50" t="str">
        <f>IF(SUMMARY!$B$34=TRUE,IF(AND(COUNTBLANK(CI16:CI22)=0,COUNTBLANK(CI24:CI28)&lt;5),1,0),"")</f>
        <v/>
      </c>
      <c r="CJ15" s="49"/>
      <c r="CK15" s="49"/>
      <c r="CL15" s="50" t="str">
        <f>IF(SUMMARY!$B$35=TRUE,IF(AND(COUNTBLANK(CL16:CL22)=0,COUNTBLANK(CL24:CL28)&lt;5),1,0),"")</f>
        <v/>
      </c>
      <c r="CM15" s="49"/>
      <c r="CN15" s="49"/>
      <c r="CO15" s="51" t="str">
        <f>IF(SUMMARY!$B$36=TRUE,IF(AND(COUNTBLANK(CO16:CO22)=0,COUNTBLANK(CO24:CO28)&lt;5),1,0),"")</f>
        <v/>
      </c>
      <c r="CP15" s="49"/>
      <c r="CQ15" s="49"/>
    </row>
    <row r="16" spans="1:95" s="13" customFormat="1" ht="15" customHeight="1" x14ac:dyDescent="0.3">
      <c r="A16" s="61" t="s">
        <v>47</v>
      </c>
      <c r="B16" s="61" t="s">
        <v>36</v>
      </c>
      <c r="C16" s="61"/>
      <c r="D16" s="331" t="s">
        <v>48</v>
      </c>
      <c r="E16" s="332"/>
      <c r="F16" s="294" t="s">
        <v>50</v>
      </c>
      <c r="G16" s="295"/>
      <c r="H16" s="295"/>
      <c r="I16" s="294" t="s">
        <v>50</v>
      </c>
      <c r="J16" s="295"/>
      <c r="K16" s="295"/>
      <c r="L16" s="294" t="s">
        <v>50</v>
      </c>
      <c r="M16" s="295"/>
      <c r="N16" s="295"/>
      <c r="O16" s="294" t="s">
        <v>50</v>
      </c>
      <c r="P16" s="295"/>
      <c r="Q16" s="295"/>
      <c r="R16" s="294" t="s">
        <v>50</v>
      </c>
      <c r="S16" s="295"/>
      <c r="T16" s="295"/>
      <c r="U16" s="294" t="s">
        <v>50</v>
      </c>
      <c r="V16" s="295"/>
      <c r="W16" s="295"/>
      <c r="X16" s="294" t="s">
        <v>50</v>
      </c>
      <c r="Y16" s="295"/>
      <c r="Z16" s="295"/>
      <c r="AA16" s="294" t="s">
        <v>50</v>
      </c>
      <c r="AB16" s="295"/>
      <c r="AC16" s="295"/>
      <c r="AD16" s="294" t="s">
        <v>50</v>
      </c>
      <c r="AE16" s="295"/>
      <c r="AF16" s="295"/>
      <c r="AG16" s="294" t="s">
        <v>49</v>
      </c>
      <c r="AH16" s="295"/>
      <c r="AI16" s="295"/>
      <c r="AJ16" s="294" t="s">
        <v>49</v>
      </c>
      <c r="AK16" s="295"/>
      <c r="AL16" s="295"/>
      <c r="AM16" s="294"/>
      <c r="AN16" s="295"/>
      <c r="AO16" s="295"/>
      <c r="AP16" s="294"/>
      <c r="AQ16" s="295"/>
      <c r="AR16" s="295"/>
      <c r="AS16" s="294"/>
      <c r="AT16" s="295"/>
      <c r="AU16" s="295"/>
      <c r="AV16" s="294"/>
      <c r="AW16" s="295"/>
      <c r="AX16" s="295"/>
      <c r="AY16" s="294"/>
      <c r="AZ16" s="295"/>
      <c r="BA16" s="295"/>
      <c r="BB16" s="294"/>
      <c r="BC16" s="295"/>
      <c r="BD16" s="295"/>
      <c r="BE16" s="294"/>
      <c r="BF16" s="295"/>
      <c r="BG16" s="295"/>
      <c r="BH16" s="294"/>
      <c r="BI16" s="295"/>
      <c r="BJ16" s="295"/>
      <c r="BK16" s="294"/>
      <c r="BL16" s="295"/>
      <c r="BM16" s="295"/>
      <c r="BN16" s="294"/>
      <c r="BO16" s="295"/>
      <c r="BP16" s="295"/>
      <c r="BQ16" s="294"/>
      <c r="BR16" s="295"/>
      <c r="BS16" s="295"/>
      <c r="BT16" s="294"/>
      <c r="BU16" s="295"/>
      <c r="BV16" s="295"/>
      <c r="BW16" s="294"/>
      <c r="BX16" s="295"/>
      <c r="BY16" s="295"/>
      <c r="BZ16" s="294"/>
      <c r="CA16" s="295"/>
      <c r="CB16" s="295"/>
      <c r="CC16" s="294"/>
      <c r="CD16" s="295"/>
      <c r="CE16" s="295"/>
      <c r="CF16" s="294"/>
      <c r="CG16" s="295"/>
      <c r="CH16" s="295"/>
      <c r="CI16" s="294"/>
      <c r="CJ16" s="295"/>
      <c r="CK16" s="295"/>
      <c r="CL16" s="294"/>
      <c r="CM16" s="295"/>
      <c r="CN16" s="295"/>
      <c r="CO16" s="294"/>
      <c r="CP16" s="295"/>
      <c r="CQ16" s="295"/>
    </row>
    <row r="17" spans="1:95" s="13" customFormat="1" ht="15" customHeight="1" x14ac:dyDescent="0.3">
      <c r="A17" s="62" t="s">
        <v>36</v>
      </c>
      <c r="B17" s="62" t="s">
        <v>36</v>
      </c>
      <c r="C17" s="62"/>
      <c r="D17" s="329" t="s">
        <v>51</v>
      </c>
      <c r="E17" s="330"/>
      <c r="F17" s="288" t="s">
        <v>349</v>
      </c>
      <c r="G17" s="289"/>
      <c r="H17" s="289"/>
      <c r="I17" s="288" t="s">
        <v>361</v>
      </c>
      <c r="J17" s="289"/>
      <c r="K17" s="289"/>
      <c r="L17" s="288" t="s">
        <v>361</v>
      </c>
      <c r="M17" s="289"/>
      <c r="N17" s="289"/>
      <c r="O17" s="288" t="s">
        <v>371</v>
      </c>
      <c r="P17" s="289"/>
      <c r="Q17" s="289"/>
      <c r="R17" s="288" t="s">
        <v>372</v>
      </c>
      <c r="S17" s="289"/>
      <c r="T17" s="289"/>
      <c r="U17" s="394" t="s">
        <v>444</v>
      </c>
      <c r="V17" s="395"/>
      <c r="W17" s="395"/>
      <c r="X17" s="288" t="s">
        <v>384</v>
      </c>
      <c r="Y17" s="289"/>
      <c r="Z17" s="289"/>
      <c r="AA17" s="288" t="s">
        <v>386</v>
      </c>
      <c r="AB17" s="289"/>
      <c r="AC17" s="289"/>
      <c r="AD17" s="288" t="s">
        <v>385</v>
      </c>
      <c r="AE17" s="289"/>
      <c r="AF17" s="289"/>
      <c r="AG17" s="288" t="s">
        <v>52</v>
      </c>
      <c r="AH17" s="289"/>
      <c r="AI17" s="289"/>
      <c r="AJ17" s="288" t="s">
        <v>52</v>
      </c>
      <c r="AK17" s="289"/>
      <c r="AL17" s="289"/>
      <c r="AM17" s="288"/>
      <c r="AN17" s="289"/>
      <c r="AO17" s="289"/>
      <c r="AP17" s="288"/>
      <c r="AQ17" s="289"/>
      <c r="AR17" s="289"/>
      <c r="AS17" s="288"/>
      <c r="AT17" s="289"/>
      <c r="AU17" s="289"/>
      <c r="AV17" s="288"/>
      <c r="AW17" s="289"/>
      <c r="AX17" s="289"/>
      <c r="AY17" s="288"/>
      <c r="AZ17" s="289"/>
      <c r="BA17" s="289"/>
      <c r="BB17" s="288"/>
      <c r="BC17" s="289"/>
      <c r="BD17" s="289"/>
      <c r="BE17" s="288"/>
      <c r="BF17" s="289"/>
      <c r="BG17" s="289"/>
      <c r="BH17" s="288"/>
      <c r="BI17" s="289"/>
      <c r="BJ17" s="289"/>
      <c r="BK17" s="288"/>
      <c r="BL17" s="289"/>
      <c r="BM17" s="289"/>
      <c r="BN17" s="288"/>
      <c r="BO17" s="289"/>
      <c r="BP17" s="289"/>
      <c r="BQ17" s="288"/>
      <c r="BR17" s="289"/>
      <c r="BS17" s="289"/>
      <c r="BT17" s="288"/>
      <c r="BU17" s="289"/>
      <c r="BV17" s="289"/>
      <c r="BW17" s="288"/>
      <c r="BX17" s="289"/>
      <c r="BY17" s="289"/>
      <c r="BZ17" s="288"/>
      <c r="CA17" s="289"/>
      <c r="CB17" s="289"/>
      <c r="CC17" s="288"/>
      <c r="CD17" s="289"/>
      <c r="CE17" s="289"/>
      <c r="CF17" s="288"/>
      <c r="CG17" s="289"/>
      <c r="CH17" s="289"/>
      <c r="CI17" s="288"/>
      <c r="CJ17" s="289"/>
      <c r="CK17" s="289"/>
      <c r="CL17" s="288"/>
      <c r="CM17" s="289"/>
      <c r="CN17" s="289"/>
      <c r="CO17" s="288"/>
      <c r="CP17" s="289"/>
      <c r="CQ17" s="289"/>
    </row>
    <row r="18" spans="1:95" s="13" customFormat="1" ht="15" customHeight="1" x14ac:dyDescent="0.3">
      <c r="A18" s="62" t="s">
        <v>36</v>
      </c>
      <c r="B18" s="62" t="s">
        <v>36</v>
      </c>
      <c r="C18" s="62"/>
      <c r="D18" s="329" t="s">
        <v>53</v>
      </c>
      <c r="E18" s="330"/>
      <c r="F18" s="288" t="s">
        <v>350</v>
      </c>
      <c r="G18" s="289"/>
      <c r="H18" s="289"/>
      <c r="I18" s="288" t="s">
        <v>362</v>
      </c>
      <c r="J18" s="289"/>
      <c r="K18" s="289"/>
      <c r="L18" s="288" t="s">
        <v>362</v>
      </c>
      <c r="M18" s="289"/>
      <c r="N18" s="289"/>
      <c r="O18" s="288" t="s">
        <v>373</v>
      </c>
      <c r="P18" s="289"/>
      <c r="Q18" s="289"/>
      <c r="R18" s="288" t="s">
        <v>374</v>
      </c>
      <c r="S18" s="289"/>
      <c r="T18" s="289"/>
      <c r="U18" s="288" t="s">
        <v>382</v>
      </c>
      <c r="V18" s="289"/>
      <c r="W18" s="289"/>
      <c r="X18" s="288" t="s">
        <v>383</v>
      </c>
      <c r="Y18" s="289"/>
      <c r="Z18" s="289"/>
      <c r="AA18" s="288" t="s">
        <v>387</v>
      </c>
      <c r="AB18" s="289"/>
      <c r="AC18" s="289"/>
      <c r="AD18" s="288" t="s">
        <v>388</v>
      </c>
      <c r="AE18" s="289"/>
      <c r="AF18" s="289"/>
      <c r="AG18" s="288" t="s">
        <v>54</v>
      </c>
      <c r="AH18" s="289"/>
      <c r="AI18" s="289"/>
      <c r="AJ18" s="288" t="s">
        <v>54</v>
      </c>
      <c r="AK18" s="289"/>
      <c r="AL18" s="289"/>
      <c r="AM18" s="288"/>
      <c r="AN18" s="289"/>
      <c r="AO18" s="289"/>
      <c r="AP18" s="288"/>
      <c r="AQ18" s="289"/>
      <c r="AR18" s="289"/>
      <c r="AS18" s="288"/>
      <c r="AT18" s="289"/>
      <c r="AU18" s="289"/>
      <c r="AV18" s="288"/>
      <c r="AW18" s="289"/>
      <c r="AX18" s="289"/>
      <c r="AY18" s="288"/>
      <c r="AZ18" s="289"/>
      <c r="BA18" s="289"/>
      <c r="BB18" s="288"/>
      <c r="BC18" s="289"/>
      <c r="BD18" s="289"/>
      <c r="BE18" s="288"/>
      <c r="BF18" s="289"/>
      <c r="BG18" s="289"/>
      <c r="BH18" s="288"/>
      <c r="BI18" s="289"/>
      <c r="BJ18" s="289"/>
      <c r="BK18" s="288"/>
      <c r="BL18" s="289"/>
      <c r="BM18" s="289"/>
      <c r="BN18" s="288"/>
      <c r="BO18" s="289"/>
      <c r="BP18" s="289"/>
      <c r="BQ18" s="288"/>
      <c r="BR18" s="289"/>
      <c r="BS18" s="289"/>
      <c r="BT18" s="288"/>
      <c r="BU18" s="289"/>
      <c r="BV18" s="289"/>
      <c r="BW18" s="288"/>
      <c r="BX18" s="289"/>
      <c r="BY18" s="289"/>
      <c r="BZ18" s="288"/>
      <c r="CA18" s="289"/>
      <c r="CB18" s="289"/>
      <c r="CC18" s="288"/>
      <c r="CD18" s="289"/>
      <c r="CE18" s="289"/>
      <c r="CF18" s="288"/>
      <c r="CG18" s="289"/>
      <c r="CH18" s="289"/>
      <c r="CI18" s="288"/>
      <c r="CJ18" s="289"/>
      <c r="CK18" s="289"/>
      <c r="CL18" s="288"/>
      <c r="CM18" s="289"/>
      <c r="CN18" s="289"/>
      <c r="CO18" s="288"/>
      <c r="CP18" s="289"/>
      <c r="CQ18" s="289"/>
    </row>
    <row r="19" spans="1:95" s="13" customFormat="1" ht="15" customHeight="1" x14ac:dyDescent="0.3">
      <c r="A19" s="62" t="s">
        <v>36</v>
      </c>
      <c r="B19" s="62" t="s">
        <v>36</v>
      </c>
      <c r="C19" s="62"/>
      <c r="D19" s="329" t="s">
        <v>55</v>
      </c>
      <c r="E19" s="330"/>
      <c r="F19" s="288" t="s">
        <v>351</v>
      </c>
      <c r="G19" s="289"/>
      <c r="H19" s="289"/>
      <c r="I19" s="288" t="s">
        <v>351</v>
      </c>
      <c r="J19" s="289"/>
      <c r="K19" s="289"/>
      <c r="L19" s="288" t="s">
        <v>351</v>
      </c>
      <c r="M19" s="289"/>
      <c r="N19" s="289"/>
      <c r="O19" s="288" t="s">
        <v>351</v>
      </c>
      <c r="P19" s="289"/>
      <c r="Q19" s="289"/>
      <c r="R19" s="288" t="s">
        <v>351</v>
      </c>
      <c r="S19" s="289"/>
      <c r="T19" s="289"/>
      <c r="U19" s="288" t="s">
        <v>381</v>
      </c>
      <c r="V19" s="289"/>
      <c r="W19" s="289"/>
      <c r="X19" s="288" t="s">
        <v>351</v>
      </c>
      <c r="Y19" s="289"/>
      <c r="Z19" s="289"/>
      <c r="AA19" s="288" t="s">
        <v>389</v>
      </c>
      <c r="AB19" s="289"/>
      <c r="AC19" s="289"/>
      <c r="AD19" s="288" t="s">
        <v>351</v>
      </c>
      <c r="AE19" s="289"/>
      <c r="AF19" s="289"/>
      <c r="AG19" s="288" t="s">
        <v>56</v>
      </c>
      <c r="AH19" s="289"/>
      <c r="AI19" s="289"/>
      <c r="AJ19" s="288" t="s">
        <v>56</v>
      </c>
      <c r="AK19" s="289"/>
      <c r="AL19" s="289"/>
      <c r="AM19" s="288"/>
      <c r="AN19" s="289"/>
      <c r="AO19" s="289"/>
      <c r="AP19" s="288"/>
      <c r="AQ19" s="289"/>
      <c r="AR19" s="289"/>
      <c r="AS19" s="288"/>
      <c r="AT19" s="289"/>
      <c r="AU19" s="289"/>
      <c r="AV19" s="288"/>
      <c r="AW19" s="289"/>
      <c r="AX19" s="289"/>
      <c r="AY19" s="288"/>
      <c r="AZ19" s="289"/>
      <c r="BA19" s="289"/>
      <c r="BB19" s="288"/>
      <c r="BC19" s="289"/>
      <c r="BD19" s="289"/>
      <c r="BE19" s="288"/>
      <c r="BF19" s="289"/>
      <c r="BG19" s="289"/>
      <c r="BH19" s="288"/>
      <c r="BI19" s="289"/>
      <c r="BJ19" s="289"/>
      <c r="BK19" s="288"/>
      <c r="BL19" s="289"/>
      <c r="BM19" s="289"/>
      <c r="BN19" s="288"/>
      <c r="BO19" s="289"/>
      <c r="BP19" s="289"/>
      <c r="BQ19" s="288"/>
      <c r="BR19" s="289"/>
      <c r="BS19" s="289"/>
      <c r="BT19" s="288"/>
      <c r="BU19" s="289"/>
      <c r="BV19" s="289"/>
      <c r="BW19" s="288"/>
      <c r="BX19" s="289"/>
      <c r="BY19" s="289"/>
      <c r="BZ19" s="288"/>
      <c r="CA19" s="289"/>
      <c r="CB19" s="289"/>
      <c r="CC19" s="288"/>
      <c r="CD19" s="289"/>
      <c r="CE19" s="289"/>
      <c r="CF19" s="288"/>
      <c r="CG19" s="289"/>
      <c r="CH19" s="289"/>
      <c r="CI19" s="288"/>
      <c r="CJ19" s="289"/>
      <c r="CK19" s="289"/>
      <c r="CL19" s="288"/>
      <c r="CM19" s="289"/>
      <c r="CN19" s="289"/>
      <c r="CO19" s="288"/>
      <c r="CP19" s="289"/>
      <c r="CQ19" s="289"/>
    </row>
    <row r="20" spans="1:95" s="13" customFormat="1" ht="15" customHeight="1" x14ac:dyDescent="0.3">
      <c r="A20" s="62" t="s">
        <v>36</v>
      </c>
      <c r="B20" s="62" t="s">
        <v>36</v>
      </c>
      <c r="C20" s="62"/>
      <c r="D20" s="329" t="s">
        <v>57</v>
      </c>
      <c r="E20" s="330"/>
      <c r="F20" s="288">
        <v>1</v>
      </c>
      <c r="G20" s="289"/>
      <c r="H20" s="289"/>
      <c r="I20" s="288">
        <v>48</v>
      </c>
      <c r="J20" s="289"/>
      <c r="K20" s="289"/>
      <c r="L20" s="288">
        <v>48</v>
      </c>
      <c r="M20" s="289"/>
      <c r="N20" s="289"/>
      <c r="O20" s="288">
        <v>1561</v>
      </c>
      <c r="P20" s="289"/>
      <c r="Q20" s="289"/>
      <c r="R20" s="288">
        <v>7</v>
      </c>
      <c r="S20" s="289"/>
      <c r="T20" s="289"/>
      <c r="U20" s="288">
        <v>15</v>
      </c>
      <c r="V20" s="289"/>
      <c r="W20" s="289"/>
      <c r="X20" s="288">
        <v>4</v>
      </c>
      <c r="Y20" s="289"/>
      <c r="Z20" s="289"/>
      <c r="AA20" s="288" t="s">
        <v>390</v>
      </c>
      <c r="AB20" s="289"/>
      <c r="AC20" s="289"/>
      <c r="AD20" s="288">
        <v>1561</v>
      </c>
      <c r="AE20" s="289"/>
      <c r="AF20" s="289"/>
      <c r="AG20" s="288">
        <v>9</v>
      </c>
      <c r="AH20" s="289"/>
      <c r="AI20" s="289"/>
      <c r="AJ20" s="288">
        <v>9</v>
      </c>
      <c r="AK20" s="289"/>
      <c r="AL20" s="289"/>
      <c r="AM20" s="288"/>
      <c r="AN20" s="289"/>
      <c r="AO20" s="289"/>
      <c r="AP20" s="288"/>
      <c r="AQ20" s="289"/>
      <c r="AR20" s="289"/>
      <c r="AS20" s="288"/>
      <c r="AT20" s="289"/>
      <c r="AU20" s="289"/>
      <c r="AV20" s="288"/>
      <c r="AW20" s="289"/>
      <c r="AX20" s="289"/>
      <c r="AY20" s="288"/>
      <c r="AZ20" s="289"/>
      <c r="BA20" s="289"/>
      <c r="BB20" s="288"/>
      <c r="BC20" s="289"/>
      <c r="BD20" s="289"/>
      <c r="BE20" s="288"/>
      <c r="BF20" s="289"/>
      <c r="BG20" s="289"/>
      <c r="BH20" s="288"/>
      <c r="BI20" s="289"/>
      <c r="BJ20" s="289"/>
      <c r="BK20" s="288"/>
      <c r="BL20" s="289"/>
      <c r="BM20" s="289"/>
      <c r="BN20" s="288"/>
      <c r="BO20" s="289"/>
      <c r="BP20" s="289"/>
      <c r="BQ20" s="288"/>
      <c r="BR20" s="289"/>
      <c r="BS20" s="289"/>
      <c r="BT20" s="288"/>
      <c r="BU20" s="289"/>
      <c r="BV20" s="289"/>
      <c r="BW20" s="288"/>
      <c r="BX20" s="289"/>
      <c r="BY20" s="289"/>
      <c r="BZ20" s="288"/>
      <c r="CA20" s="289"/>
      <c r="CB20" s="289"/>
      <c r="CC20" s="288"/>
      <c r="CD20" s="289"/>
      <c r="CE20" s="289"/>
      <c r="CF20" s="288"/>
      <c r="CG20" s="289"/>
      <c r="CH20" s="289"/>
      <c r="CI20" s="288"/>
      <c r="CJ20" s="289"/>
      <c r="CK20" s="289"/>
      <c r="CL20" s="288"/>
      <c r="CM20" s="289"/>
      <c r="CN20" s="289"/>
      <c r="CO20" s="288"/>
      <c r="CP20" s="289"/>
      <c r="CQ20" s="289"/>
    </row>
    <row r="21" spans="1:95" s="13" customFormat="1" ht="45" customHeight="1" x14ac:dyDescent="0.3">
      <c r="A21" s="62" t="s">
        <v>36</v>
      </c>
      <c r="B21" s="62" t="s">
        <v>36</v>
      </c>
      <c r="C21" s="62"/>
      <c r="D21" s="329" t="s">
        <v>59</v>
      </c>
      <c r="E21" s="330"/>
      <c r="F21" s="288" t="s">
        <v>352</v>
      </c>
      <c r="G21" s="289"/>
      <c r="H21" s="289"/>
      <c r="I21" s="288" t="s">
        <v>363</v>
      </c>
      <c r="J21" s="289"/>
      <c r="K21" s="289"/>
      <c r="L21" s="288" t="s">
        <v>363</v>
      </c>
      <c r="M21" s="289"/>
      <c r="N21" s="289"/>
      <c r="O21" s="288" t="s">
        <v>363</v>
      </c>
      <c r="P21" s="289"/>
      <c r="Q21" s="289"/>
      <c r="R21" s="288" t="s">
        <v>363</v>
      </c>
      <c r="S21" s="289"/>
      <c r="T21" s="289"/>
      <c r="U21" s="288" t="s">
        <v>363</v>
      </c>
      <c r="V21" s="289"/>
      <c r="W21" s="289"/>
      <c r="X21" s="288" t="s">
        <v>363</v>
      </c>
      <c r="Y21" s="289"/>
      <c r="Z21" s="289"/>
      <c r="AA21" s="288" t="s">
        <v>380</v>
      </c>
      <c r="AB21" s="289"/>
      <c r="AC21" s="289"/>
      <c r="AD21" s="288" t="s">
        <v>363</v>
      </c>
      <c r="AE21" s="289"/>
      <c r="AF21" s="289"/>
      <c r="AG21" s="288" t="s">
        <v>60</v>
      </c>
      <c r="AH21" s="289"/>
      <c r="AI21" s="289"/>
      <c r="AJ21" s="288" t="s">
        <v>60</v>
      </c>
      <c r="AK21" s="289"/>
      <c r="AL21" s="289"/>
      <c r="AM21" s="288"/>
      <c r="AN21" s="289"/>
      <c r="AO21" s="289"/>
      <c r="AP21" s="288"/>
      <c r="AQ21" s="289"/>
      <c r="AR21" s="289"/>
      <c r="AS21" s="288"/>
      <c r="AT21" s="289"/>
      <c r="AU21" s="289"/>
      <c r="AV21" s="288"/>
      <c r="AW21" s="289"/>
      <c r="AX21" s="289"/>
      <c r="AY21" s="288"/>
      <c r="AZ21" s="289"/>
      <c r="BA21" s="289"/>
      <c r="BB21" s="288"/>
      <c r="BC21" s="289"/>
      <c r="BD21" s="289"/>
      <c r="BE21" s="288"/>
      <c r="BF21" s="289"/>
      <c r="BG21" s="289"/>
      <c r="BH21" s="288"/>
      <c r="BI21" s="289"/>
      <c r="BJ21" s="289"/>
      <c r="BK21" s="288"/>
      <c r="BL21" s="289"/>
      <c r="BM21" s="289"/>
      <c r="BN21" s="288"/>
      <c r="BO21" s="289"/>
      <c r="BP21" s="289"/>
      <c r="BQ21" s="288"/>
      <c r="BR21" s="289"/>
      <c r="BS21" s="289"/>
      <c r="BT21" s="288"/>
      <c r="BU21" s="289"/>
      <c r="BV21" s="289"/>
      <c r="BW21" s="288"/>
      <c r="BX21" s="289"/>
      <c r="BY21" s="289"/>
      <c r="BZ21" s="288"/>
      <c r="CA21" s="289"/>
      <c r="CB21" s="289"/>
      <c r="CC21" s="288"/>
      <c r="CD21" s="289"/>
      <c r="CE21" s="289"/>
      <c r="CF21" s="288"/>
      <c r="CG21" s="289"/>
      <c r="CH21" s="289"/>
      <c r="CI21" s="288"/>
      <c r="CJ21" s="289"/>
      <c r="CK21" s="289"/>
      <c r="CL21" s="288"/>
      <c r="CM21" s="289"/>
      <c r="CN21" s="289"/>
      <c r="CO21" s="288"/>
      <c r="CP21" s="289"/>
      <c r="CQ21" s="289"/>
    </row>
    <row r="22" spans="1:95" s="13" customFormat="1" ht="45" customHeight="1" x14ac:dyDescent="0.3">
      <c r="A22" s="62" t="s">
        <v>36</v>
      </c>
      <c r="B22" s="62" t="s">
        <v>36</v>
      </c>
      <c r="C22" s="62"/>
      <c r="D22" s="339" t="s">
        <v>61</v>
      </c>
      <c r="E22" s="340"/>
      <c r="F22" s="292" t="s">
        <v>50</v>
      </c>
      <c r="G22" s="293"/>
      <c r="H22" s="293"/>
      <c r="I22" s="292" t="s">
        <v>50</v>
      </c>
      <c r="J22" s="293"/>
      <c r="K22" s="293"/>
      <c r="L22" s="292" t="s">
        <v>50</v>
      </c>
      <c r="M22" s="293"/>
      <c r="N22" s="293"/>
      <c r="O22" s="288" t="s">
        <v>375</v>
      </c>
      <c r="P22" s="289"/>
      <c r="Q22" s="289"/>
      <c r="R22" s="288" t="s">
        <v>50</v>
      </c>
      <c r="S22" s="289"/>
      <c r="T22" s="289"/>
      <c r="U22" s="288" t="s">
        <v>376</v>
      </c>
      <c r="V22" s="289"/>
      <c r="W22" s="289"/>
      <c r="X22" s="288" t="s">
        <v>377</v>
      </c>
      <c r="Y22" s="289"/>
      <c r="Z22" s="289"/>
      <c r="AA22" s="288" t="s">
        <v>378</v>
      </c>
      <c r="AB22" s="289"/>
      <c r="AC22" s="289"/>
      <c r="AD22" s="288" t="s">
        <v>379</v>
      </c>
      <c r="AE22" s="289"/>
      <c r="AF22" s="289"/>
      <c r="AG22" s="288" t="s">
        <v>62</v>
      </c>
      <c r="AH22" s="289"/>
      <c r="AI22" s="289"/>
      <c r="AJ22" s="288" t="s">
        <v>62</v>
      </c>
      <c r="AK22" s="289"/>
      <c r="AL22" s="289"/>
      <c r="AM22" s="288"/>
      <c r="AN22" s="289"/>
      <c r="AO22" s="289"/>
      <c r="AP22" s="288"/>
      <c r="AQ22" s="289"/>
      <c r="AR22" s="289"/>
      <c r="AS22" s="288"/>
      <c r="AT22" s="289"/>
      <c r="AU22" s="289"/>
      <c r="AV22" s="288"/>
      <c r="AW22" s="289"/>
      <c r="AX22" s="289"/>
      <c r="AY22" s="288"/>
      <c r="AZ22" s="289"/>
      <c r="BA22" s="289"/>
      <c r="BB22" s="288"/>
      <c r="BC22" s="289"/>
      <c r="BD22" s="289"/>
      <c r="BE22" s="288"/>
      <c r="BF22" s="289"/>
      <c r="BG22" s="289"/>
      <c r="BH22" s="288"/>
      <c r="BI22" s="289"/>
      <c r="BJ22" s="289"/>
      <c r="BK22" s="288"/>
      <c r="BL22" s="289"/>
      <c r="BM22" s="289"/>
      <c r="BN22" s="288"/>
      <c r="BO22" s="289"/>
      <c r="BP22" s="289"/>
      <c r="BQ22" s="288"/>
      <c r="BR22" s="289"/>
      <c r="BS22" s="289"/>
      <c r="BT22" s="288"/>
      <c r="BU22" s="289"/>
      <c r="BV22" s="289"/>
      <c r="BW22" s="288"/>
      <c r="BX22" s="289"/>
      <c r="BY22" s="289"/>
      <c r="BZ22" s="288"/>
      <c r="CA22" s="289"/>
      <c r="CB22" s="289"/>
      <c r="CC22" s="288"/>
      <c r="CD22" s="289"/>
      <c r="CE22" s="289"/>
      <c r="CF22" s="288"/>
      <c r="CG22" s="289"/>
      <c r="CH22" s="289"/>
      <c r="CI22" s="288"/>
      <c r="CJ22" s="289"/>
      <c r="CK22" s="289"/>
      <c r="CL22" s="288"/>
      <c r="CM22" s="289"/>
      <c r="CN22" s="289"/>
      <c r="CO22" s="288"/>
      <c r="CP22" s="289"/>
      <c r="CQ22" s="289"/>
    </row>
    <row r="23" spans="1:95" s="13" customFormat="1" ht="15" customHeight="1" x14ac:dyDescent="0.3">
      <c r="A23" s="62" t="s">
        <v>36</v>
      </c>
      <c r="B23" s="62" t="s">
        <v>36</v>
      </c>
      <c r="C23" s="62"/>
      <c r="D23" s="65" t="s">
        <v>63</v>
      </c>
      <c r="E23" s="66" t="s">
        <v>64</v>
      </c>
      <c r="F23" s="307" t="s">
        <v>65</v>
      </c>
      <c r="G23" s="308"/>
      <c r="H23" s="57" t="s">
        <v>66</v>
      </c>
      <c r="I23" s="307" t="s">
        <v>65</v>
      </c>
      <c r="J23" s="308"/>
      <c r="K23" s="57" t="s">
        <v>66</v>
      </c>
      <c r="L23" s="307" t="s">
        <v>65</v>
      </c>
      <c r="M23" s="308"/>
      <c r="N23" s="57" t="s">
        <v>66</v>
      </c>
      <c r="O23" s="307" t="s">
        <v>65</v>
      </c>
      <c r="P23" s="308"/>
      <c r="Q23" s="57" t="s">
        <v>66</v>
      </c>
      <c r="R23" s="307" t="s">
        <v>65</v>
      </c>
      <c r="S23" s="308"/>
      <c r="T23" s="57" t="s">
        <v>66</v>
      </c>
      <c r="U23" s="307" t="s">
        <v>65</v>
      </c>
      <c r="V23" s="308"/>
      <c r="W23" s="57" t="s">
        <v>66</v>
      </c>
      <c r="X23" s="307" t="s">
        <v>65</v>
      </c>
      <c r="Y23" s="308"/>
      <c r="Z23" s="57" t="s">
        <v>66</v>
      </c>
      <c r="AA23" s="307" t="s">
        <v>65</v>
      </c>
      <c r="AB23" s="308"/>
      <c r="AC23" s="57" t="s">
        <v>66</v>
      </c>
      <c r="AD23" s="307" t="s">
        <v>65</v>
      </c>
      <c r="AE23" s="308"/>
      <c r="AF23" s="57" t="s">
        <v>66</v>
      </c>
      <c r="AG23" s="307" t="s">
        <v>65</v>
      </c>
      <c r="AH23" s="308"/>
      <c r="AI23" s="57" t="s">
        <v>66</v>
      </c>
      <c r="AJ23" s="307" t="s">
        <v>65</v>
      </c>
      <c r="AK23" s="308"/>
      <c r="AL23" s="57" t="s">
        <v>66</v>
      </c>
      <c r="AM23" s="307" t="s">
        <v>65</v>
      </c>
      <c r="AN23" s="308"/>
      <c r="AO23" s="57" t="s">
        <v>66</v>
      </c>
      <c r="AP23" s="307" t="s">
        <v>65</v>
      </c>
      <c r="AQ23" s="308"/>
      <c r="AR23" s="57" t="s">
        <v>66</v>
      </c>
      <c r="AS23" s="307" t="s">
        <v>65</v>
      </c>
      <c r="AT23" s="308"/>
      <c r="AU23" s="57" t="s">
        <v>66</v>
      </c>
      <c r="AV23" s="307" t="s">
        <v>65</v>
      </c>
      <c r="AW23" s="308"/>
      <c r="AX23" s="57" t="s">
        <v>66</v>
      </c>
      <c r="AY23" s="307" t="s">
        <v>65</v>
      </c>
      <c r="AZ23" s="308"/>
      <c r="BA23" s="57" t="s">
        <v>66</v>
      </c>
      <c r="BB23" s="307" t="s">
        <v>65</v>
      </c>
      <c r="BC23" s="308"/>
      <c r="BD23" s="57" t="s">
        <v>66</v>
      </c>
      <c r="BE23" s="307" t="s">
        <v>65</v>
      </c>
      <c r="BF23" s="308"/>
      <c r="BG23" s="57" t="s">
        <v>66</v>
      </c>
      <c r="BH23" s="307" t="s">
        <v>65</v>
      </c>
      <c r="BI23" s="308"/>
      <c r="BJ23" s="57" t="s">
        <v>66</v>
      </c>
      <c r="BK23" s="307" t="s">
        <v>65</v>
      </c>
      <c r="BL23" s="308"/>
      <c r="BM23" s="57" t="s">
        <v>66</v>
      </c>
      <c r="BN23" s="307" t="s">
        <v>65</v>
      </c>
      <c r="BO23" s="308"/>
      <c r="BP23" s="57" t="s">
        <v>66</v>
      </c>
      <c r="BQ23" s="307" t="s">
        <v>65</v>
      </c>
      <c r="BR23" s="308"/>
      <c r="BS23" s="57" t="s">
        <v>66</v>
      </c>
      <c r="BT23" s="307" t="s">
        <v>65</v>
      </c>
      <c r="BU23" s="308"/>
      <c r="BV23" s="57" t="s">
        <v>66</v>
      </c>
      <c r="BW23" s="307" t="s">
        <v>65</v>
      </c>
      <c r="BX23" s="308"/>
      <c r="BY23" s="57" t="s">
        <v>66</v>
      </c>
      <c r="BZ23" s="307" t="s">
        <v>65</v>
      </c>
      <c r="CA23" s="308"/>
      <c r="CB23" s="57" t="s">
        <v>66</v>
      </c>
      <c r="CC23" s="307" t="s">
        <v>65</v>
      </c>
      <c r="CD23" s="308"/>
      <c r="CE23" s="57" t="s">
        <v>66</v>
      </c>
      <c r="CF23" s="307" t="s">
        <v>65</v>
      </c>
      <c r="CG23" s="308"/>
      <c r="CH23" s="57" t="s">
        <v>66</v>
      </c>
      <c r="CI23" s="307" t="s">
        <v>65</v>
      </c>
      <c r="CJ23" s="308"/>
      <c r="CK23" s="57" t="s">
        <v>66</v>
      </c>
      <c r="CL23" s="307" t="s">
        <v>65</v>
      </c>
      <c r="CM23" s="308"/>
      <c r="CN23" s="57" t="s">
        <v>66</v>
      </c>
      <c r="CO23" s="307" t="s">
        <v>65</v>
      </c>
      <c r="CP23" s="308"/>
      <c r="CQ23" s="57" t="s">
        <v>66</v>
      </c>
    </row>
    <row r="24" spans="1:95" s="13" customFormat="1" ht="15" customHeight="1" x14ac:dyDescent="0.3">
      <c r="A24" s="62" t="s">
        <v>36</v>
      </c>
      <c r="B24" s="62" t="s">
        <v>36</v>
      </c>
      <c r="C24" s="62"/>
      <c r="D24" s="67" t="str">
        <f>IF(E24="","2.8.1 Characteristic 1", CONCATENATE("2.8.1 ", E24))</f>
        <v>2.8.1 Age of participants</v>
      </c>
      <c r="E24" s="79" t="s">
        <v>67</v>
      </c>
      <c r="F24" s="286">
        <v>77</v>
      </c>
      <c r="G24" s="287"/>
      <c r="H24" s="174" t="s">
        <v>68</v>
      </c>
      <c r="I24" s="282" t="s">
        <v>364</v>
      </c>
      <c r="J24" s="283"/>
      <c r="K24" s="174" t="s">
        <v>76</v>
      </c>
      <c r="L24" s="282" t="s">
        <v>364</v>
      </c>
      <c r="M24" s="283"/>
      <c r="N24" s="174" t="s">
        <v>76</v>
      </c>
      <c r="O24" s="286" t="s">
        <v>392</v>
      </c>
      <c r="P24" s="287"/>
      <c r="Q24" s="174" t="s">
        <v>68</v>
      </c>
      <c r="R24" s="286" t="s">
        <v>393</v>
      </c>
      <c r="S24" s="287"/>
      <c r="T24" s="174" t="s">
        <v>69</v>
      </c>
      <c r="U24" s="286" t="s">
        <v>395</v>
      </c>
      <c r="V24" s="287"/>
      <c r="W24" s="174" t="s">
        <v>68</v>
      </c>
      <c r="X24" s="286" t="s">
        <v>396</v>
      </c>
      <c r="Y24" s="287"/>
      <c r="Z24" s="174" t="s">
        <v>68</v>
      </c>
      <c r="AA24" s="286" t="s">
        <v>397</v>
      </c>
      <c r="AB24" s="287"/>
      <c r="AC24" s="174" t="s">
        <v>69</v>
      </c>
      <c r="AD24" s="286" t="s">
        <v>398</v>
      </c>
      <c r="AE24" s="287"/>
      <c r="AF24" s="174" t="s">
        <v>69</v>
      </c>
      <c r="AG24" s="286" t="s">
        <v>70</v>
      </c>
      <c r="AH24" s="287"/>
      <c r="AI24" s="174" t="s">
        <v>69</v>
      </c>
      <c r="AJ24" s="286" t="s">
        <v>70</v>
      </c>
      <c r="AK24" s="287"/>
      <c r="AL24" s="174" t="s">
        <v>69</v>
      </c>
      <c r="AM24" s="286"/>
      <c r="AN24" s="287"/>
      <c r="AO24" s="174"/>
      <c r="AP24" s="286"/>
      <c r="AQ24" s="287"/>
      <c r="AR24" s="174"/>
      <c r="AS24" s="286"/>
      <c r="AT24" s="287"/>
      <c r="AU24" s="174"/>
      <c r="AV24" s="286"/>
      <c r="AW24" s="287"/>
      <c r="AX24" s="174"/>
      <c r="AY24" s="286"/>
      <c r="AZ24" s="287"/>
      <c r="BA24" s="174"/>
      <c r="BB24" s="286"/>
      <c r="BC24" s="287"/>
      <c r="BD24" s="174"/>
      <c r="BE24" s="286"/>
      <c r="BF24" s="287"/>
      <c r="BG24" s="174"/>
      <c r="BH24" s="286"/>
      <c r="BI24" s="287"/>
      <c r="BJ24" s="174"/>
      <c r="BK24" s="286"/>
      <c r="BL24" s="287"/>
      <c r="BM24" s="174"/>
      <c r="BN24" s="286"/>
      <c r="BO24" s="287"/>
      <c r="BP24" s="174"/>
      <c r="BQ24" s="286"/>
      <c r="BR24" s="287"/>
      <c r="BS24" s="174"/>
      <c r="BT24" s="286"/>
      <c r="BU24" s="287"/>
      <c r="BV24" s="174"/>
      <c r="BW24" s="286"/>
      <c r="BX24" s="287"/>
      <c r="BY24" s="174"/>
      <c r="BZ24" s="286"/>
      <c r="CA24" s="287"/>
      <c r="CB24" s="174"/>
      <c r="CC24" s="286"/>
      <c r="CD24" s="287"/>
      <c r="CE24" s="174"/>
      <c r="CF24" s="286"/>
      <c r="CG24" s="287"/>
      <c r="CH24" s="174"/>
      <c r="CI24" s="286"/>
      <c r="CJ24" s="287"/>
      <c r="CK24" s="174"/>
      <c r="CL24" s="286"/>
      <c r="CM24" s="287"/>
      <c r="CN24" s="174"/>
      <c r="CO24" s="286"/>
      <c r="CP24" s="287"/>
      <c r="CQ24" s="174"/>
    </row>
    <row r="25" spans="1:95" s="13" customFormat="1" ht="15" customHeight="1" x14ac:dyDescent="0.3">
      <c r="A25" s="62" t="s">
        <v>36</v>
      </c>
      <c r="B25" s="62" t="s">
        <v>36</v>
      </c>
      <c r="C25" s="62"/>
      <c r="D25" s="67" t="str">
        <f>IF(E25="","2.8.2 Characteristic 2", CONCATENATE("2.8.2 ", E25))</f>
        <v>2.8.2 CAD type</v>
      </c>
      <c r="E25" s="79" t="s">
        <v>354</v>
      </c>
      <c r="F25" s="282" t="s">
        <v>356</v>
      </c>
      <c r="G25" s="283"/>
      <c r="H25" s="175" t="s">
        <v>76</v>
      </c>
      <c r="I25" s="282" t="s">
        <v>364</v>
      </c>
      <c r="J25" s="283"/>
      <c r="K25" s="175" t="s">
        <v>76</v>
      </c>
      <c r="L25" s="282" t="s">
        <v>364</v>
      </c>
      <c r="M25" s="283"/>
      <c r="N25" s="175" t="s">
        <v>76</v>
      </c>
      <c r="O25" s="282" t="s">
        <v>364</v>
      </c>
      <c r="P25" s="283"/>
      <c r="Q25" s="175" t="s">
        <v>76</v>
      </c>
      <c r="R25" s="282" t="s">
        <v>391</v>
      </c>
      <c r="S25" s="283"/>
      <c r="T25" s="175" t="s">
        <v>76</v>
      </c>
      <c r="U25" s="282" t="s">
        <v>394</v>
      </c>
      <c r="V25" s="283"/>
      <c r="W25" s="175" t="s">
        <v>76</v>
      </c>
      <c r="X25" s="282" t="s">
        <v>72</v>
      </c>
      <c r="Y25" s="283"/>
      <c r="Z25" s="175" t="s">
        <v>76</v>
      </c>
      <c r="AA25" s="282" t="s">
        <v>73</v>
      </c>
      <c r="AB25" s="283"/>
      <c r="AC25" s="175" t="s">
        <v>76</v>
      </c>
      <c r="AD25" s="282" t="s">
        <v>74</v>
      </c>
      <c r="AE25" s="283"/>
      <c r="AF25" s="175" t="s">
        <v>76</v>
      </c>
      <c r="AG25" s="282" t="s">
        <v>50</v>
      </c>
      <c r="AH25" s="283"/>
      <c r="AI25" s="175" t="s">
        <v>50</v>
      </c>
      <c r="AJ25" s="282" t="s">
        <v>50</v>
      </c>
      <c r="AK25" s="283"/>
      <c r="AL25" s="175" t="s">
        <v>50</v>
      </c>
      <c r="AM25" s="282"/>
      <c r="AN25" s="283"/>
      <c r="AO25" s="175"/>
      <c r="AP25" s="282"/>
      <c r="AQ25" s="283"/>
      <c r="AR25" s="175"/>
      <c r="AS25" s="282"/>
      <c r="AT25" s="283"/>
      <c r="AU25" s="175"/>
      <c r="AV25" s="282"/>
      <c r="AW25" s="283"/>
      <c r="AX25" s="175"/>
      <c r="AY25" s="282"/>
      <c r="AZ25" s="283"/>
      <c r="BA25" s="175"/>
      <c r="BB25" s="282"/>
      <c r="BC25" s="283"/>
      <c r="BD25" s="175"/>
      <c r="BE25" s="282"/>
      <c r="BF25" s="283"/>
      <c r="BG25" s="175"/>
      <c r="BH25" s="282"/>
      <c r="BI25" s="283"/>
      <c r="BJ25" s="175"/>
      <c r="BK25" s="282"/>
      <c r="BL25" s="283"/>
      <c r="BM25" s="175"/>
      <c r="BN25" s="282"/>
      <c r="BO25" s="283"/>
      <c r="BP25" s="175"/>
      <c r="BQ25" s="282"/>
      <c r="BR25" s="283"/>
      <c r="BS25" s="175"/>
      <c r="BT25" s="282"/>
      <c r="BU25" s="283"/>
      <c r="BV25" s="175"/>
      <c r="BW25" s="282"/>
      <c r="BX25" s="283"/>
      <c r="BY25" s="175"/>
      <c r="BZ25" s="282"/>
      <c r="CA25" s="283"/>
      <c r="CB25" s="175"/>
      <c r="CC25" s="282"/>
      <c r="CD25" s="283"/>
      <c r="CE25" s="175"/>
      <c r="CF25" s="282"/>
      <c r="CG25" s="283"/>
      <c r="CH25" s="175"/>
      <c r="CI25" s="282"/>
      <c r="CJ25" s="283"/>
      <c r="CK25" s="175"/>
      <c r="CL25" s="282"/>
      <c r="CM25" s="283"/>
      <c r="CN25" s="175"/>
      <c r="CO25" s="282"/>
      <c r="CP25" s="283"/>
      <c r="CQ25" s="175"/>
    </row>
    <row r="26" spans="1:95" s="13" customFormat="1" ht="15" customHeight="1" x14ac:dyDescent="0.3">
      <c r="A26" s="62" t="s">
        <v>36</v>
      </c>
      <c r="B26" s="62" t="s">
        <v>36</v>
      </c>
      <c r="C26" s="62"/>
      <c r="D26" s="67" t="str">
        <f>IF(E26="","2.8.3 Characteristic 3", CONCATENATE("2.8.3 ", E26))</f>
        <v>2.8.3 PCI type</v>
      </c>
      <c r="E26" s="79" t="s">
        <v>353</v>
      </c>
      <c r="F26" s="282" t="s">
        <v>355</v>
      </c>
      <c r="G26" s="283"/>
      <c r="H26" s="175" t="s">
        <v>76</v>
      </c>
      <c r="I26" s="282" t="s">
        <v>355</v>
      </c>
      <c r="J26" s="283"/>
      <c r="K26" s="175" t="s">
        <v>76</v>
      </c>
      <c r="L26" s="282" t="s">
        <v>355</v>
      </c>
      <c r="M26" s="283"/>
      <c r="N26" s="175" t="s">
        <v>76</v>
      </c>
      <c r="O26" s="282" t="s">
        <v>355</v>
      </c>
      <c r="P26" s="283"/>
      <c r="Q26" s="175" t="s">
        <v>76</v>
      </c>
      <c r="R26" s="282" t="s">
        <v>355</v>
      </c>
      <c r="S26" s="283"/>
      <c r="T26" s="175" t="s">
        <v>76</v>
      </c>
      <c r="U26" s="282" t="s">
        <v>355</v>
      </c>
      <c r="V26" s="283"/>
      <c r="W26" s="175" t="s">
        <v>76</v>
      </c>
      <c r="X26" s="282" t="s">
        <v>355</v>
      </c>
      <c r="Y26" s="283"/>
      <c r="Z26" s="175" t="s">
        <v>76</v>
      </c>
      <c r="AA26" s="282" t="s">
        <v>355</v>
      </c>
      <c r="AB26" s="283"/>
      <c r="AC26" s="175" t="s">
        <v>76</v>
      </c>
      <c r="AD26" s="282" t="s">
        <v>355</v>
      </c>
      <c r="AE26" s="283"/>
      <c r="AF26" s="175" t="s">
        <v>76</v>
      </c>
      <c r="AG26" s="282" t="s">
        <v>75</v>
      </c>
      <c r="AH26" s="283"/>
      <c r="AI26" s="175" t="s">
        <v>76</v>
      </c>
      <c r="AJ26" s="282" t="s">
        <v>75</v>
      </c>
      <c r="AK26" s="283"/>
      <c r="AL26" s="175" t="s">
        <v>76</v>
      </c>
      <c r="AM26" s="282"/>
      <c r="AN26" s="283"/>
      <c r="AO26" s="175"/>
      <c r="AP26" s="282"/>
      <c r="AQ26" s="283"/>
      <c r="AR26" s="175"/>
      <c r="AS26" s="282"/>
      <c r="AT26" s="283"/>
      <c r="AU26" s="175"/>
      <c r="AV26" s="282"/>
      <c r="AW26" s="283"/>
      <c r="AX26" s="175"/>
      <c r="AY26" s="282"/>
      <c r="AZ26" s="283"/>
      <c r="BA26" s="175"/>
      <c r="BB26" s="282"/>
      <c r="BC26" s="283"/>
      <c r="BD26" s="175"/>
      <c r="BE26" s="282"/>
      <c r="BF26" s="283"/>
      <c r="BG26" s="175"/>
      <c r="BH26" s="282"/>
      <c r="BI26" s="283"/>
      <c r="BJ26" s="175"/>
      <c r="BK26" s="282"/>
      <c r="BL26" s="283"/>
      <c r="BM26" s="175"/>
      <c r="BN26" s="282"/>
      <c r="BO26" s="283"/>
      <c r="BP26" s="175"/>
      <c r="BQ26" s="282"/>
      <c r="BR26" s="283"/>
      <c r="BS26" s="175"/>
      <c r="BT26" s="282"/>
      <c r="BU26" s="283"/>
      <c r="BV26" s="175"/>
      <c r="BW26" s="282"/>
      <c r="BX26" s="283"/>
      <c r="BY26" s="175"/>
      <c r="BZ26" s="282"/>
      <c r="CA26" s="283"/>
      <c r="CB26" s="175"/>
      <c r="CC26" s="282"/>
      <c r="CD26" s="283"/>
      <c r="CE26" s="175"/>
      <c r="CF26" s="282"/>
      <c r="CG26" s="283"/>
      <c r="CH26" s="175"/>
      <c r="CI26" s="282"/>
      <c r="CJ26" s="283"/>
      <c r="CK26" s="175"/>
      <c r="CL26" s="282"/>
      <c r="CM26" s="283"/>
      <c r="CN26" s="175"/>
      <c r="CO26" s="282"/>
      <c r="CP26" s="283"/>
      <c r="CQ26" s="175"/>
    </row>
    <row r="27" spans="1:95" s="13" customFormat="1" ht="15" customHeight="1" x14ac:dyDescent="0.3">
      <c r="A27" s="62" t="s">
        <v>36</v>
      </c>
      <c r="B27" s="62" t="s">
        <v>36</v>
      </c>
      <c r="C27" s="62"/>
      <c r="D27" s="67" t="str">
        <f>IF(E27="","2.8.4 Characteristic 4", CONCATENATE("2.8.4 ", E27))</f>
        <v>2.8.4 Characteristic 4</v>
      </c>
      <c r="E27" s="79"/>
      <c r="F27" s="282"/>
      <c r="G27" s="283"/>
      <c r="H27" s="175"/>
      <c r="I27" s="282"/>
      <c r="J27" s="283"/>
      <c r="K27" s="175"/>
      <c r="L27" s="282"/>
      <c r="M27" s="283"/>
      <c r="N27" s="175"/>
      <c r="O27" s="282"/>
      <c r="P27" s="283"/>
      <c r="Q27" s="175"/>
      <c r="R27" s="282"/>
      <c r="S27" s="283"/>
      <c r="T27" s="175"/>
      <c r="U27" s="282"/>
      <c r="V27" s="283"/>
      <c r="W27" s="175"/>
      <c r="X27" s="282"/>
      <c r="Y27" s="283"/>
      <c r="Z27" s="175"/>
      <c r="AA27" s="282"/>
      <c r="AB27" s="283"/>
      <c r="AC27" s="175"/>
      <c r="AD27" s="282"/>
      <c r="AE27" s="283"/>
      <c r="AF27" s="175"/>
      <c r="AG27" s="282"/>
      <c r="AH27" s="283"/>
      <c r="AI27" s="175"/>
      <c r="AJ27" s="282"/>
      <c r="AK27" s="283"/>
      <c r="AL27" s="175"/>
      <c r="AM27" s="282"/>
      <c r="AN27" s="283"/>
      <c r="AO27" s="175"/>
      <c r="AP27" s="282"/>
      <c r="AQ27" s="283"/>
      <c r="AR27" s="175"/>
      <c r="AS27" s="282"/>
      <c r="AT27" s="283"/>
      <c r="AU27" s="175"/>
      <c r="AV27" s="282"/>
      <c r="AW27" s="283"/>
      <c r="AX27" s="175"/>
      <c r="AY27" s="282"/>
      <c r="AZ27" s="283"/>
      <c r="BA27" s="175"/>
      <c r="BB27" s="282"/>
      <c r="BC27" s="283"/>
      <c r="BD27" s="175"/>
      <c r="BE27" s="282"/>
      <c r="BF27" s="283"/>
      <c r="BG27" s="175"/>
      <c r="BH27" s="282"/>
      <c r="BI27" s="283"/>
      <c r="BJ27" s="175"/>
      <c r="BK27" s="282"/>
      <c r="BL27" s="283"/>
      <c r="BM27" s="175"/>
      <c r="BN27" s="282"/>
      <c r="BO27" s="283"/>
      <c r="BP27" s="175"/>
      <c r="BQ27" s="282"/>
      <c r="BR27" s="283"/>
      <c r="BS27" s="175"/>
      <c r="BT27" s="282"/>
      <c r="BU27" s="283"/>
      <c r="BV27" s="175"/>
      <c r="BW27" s="282"/>
      <c r="BX27" s="283"/>
      <c r="BY27" s="175"/>
      <c r="BZ27" s="282"/>
      <c r="CA27" s="283"/>
      <c r="CB27" s="175"/>
      <c r="CC27" s="282"/>
      <c r="CD27" s="283"/>
      <c r="CE27" s="175"/>
      <c r="CF27" s="282"/>
      <c r="CG27" s="283"/>
      <c r="CH27" s="175"/>
      <c r="CI27" s="282"/>
      <c r="CJ27" s="283"/>
      <c r="CK27" s="175"/>
      <c r="CL27" s="282"/>
      <c r="CM27" s="283"/>
      <c r="CN27" s="175"/>
      <c r="CO27" s="282"/>
      <c r="CP27" s="283"/>
      <c r="CQ27" s="175"/>
    </row>
    <row r="28" spans="1:95" s="13" customFormat="1" ht="15" customHeight="1" x14ac:dyDescent="0.3">
      <c r="A28" s="62" t="s">
        <v>36</v>
      </c>
      <c r="B28" s="62" t="s">
        <v>36</v>
      </c>
      <c r="C28" s="58"/>
      <c r="D28" s="68" t="str">
        <f>IF(E28="","2.8.5 Characteristic 5", CONCATENATE("2.8.5 ", E28))</f>
        <v>2.8.5 Characteristic 5</v>
      </c>
      <c r="E28" s="80"/>
      <c r="F28" s="284"/>
      <c r="G28" s="285"/>
      <c r="H28" s="176"/>
      <c r="I28" s="284"/>
      <c r="J28" s="285"/>
      <c r="K28" s="176"/>
      <c r="L28" s="284"/>
      <c r="M28" s="285"/>
      <c r="N28" s="176"/>
      <c r="O28" s="284"/>
      <c r="P28" s="285"/>
      <c r="Q28" s="176"/>
      <c r="R28" s="284"/>
      <c r="S28" s="285"/>
      <c r="T28" s="176"/>
      <c r="U28" s="284"/>
      <c r="V28" s="285"/>
      <c r="W28" s="176"/>
      <c r="X28" s="284"/>
      <c r="Y28" s="285"/>
      <c r="Z28" s="176"/>
      <c r="AA28" s="284"/>
      <c r="AB28" s="285"/>
      <c r="AC28" s="176"/>
      <c r="AD28" s="284"/>
      <c r="AE28" s="285"/>
      <c r="AF28" s="176"/>
      <c r="AG28" s="284"/>
      <c r="AH28" s="285"/>
      <c r="AI28" s="176"/>
      <c r="AJ28" s="284"/>
      <c r="AK28" s="285"/>
      <c r="AL28" s="176"/>
      <c r="AM28" s="284"/>
      <c r="AN28" s="285"/>
      <c r="AO28" s="176"/>
      <c r="AP28" s="284"/>
      <c r="AQ28" s="285"/>
      <c r="AR28" s="176"/>
      <c r="AS28" s="284"/>
      <c r="AT28" s="285"/>
      <c r="AU28" s="176"/>
      <c r="AV28" s="284"/>
      <c r="AW28" s="285"/>
      <c r="AX28" s="176"/>
      <c r="AY28" s="284"/>
      <c r="AZ28" s="285"/>
      <c r="BA28" s="176"/>
      <c r="BB28" s="284"/>
      <c r="BC28" s="285"/>
      <c r="BD28" s="176"/>
      <c r="BE28" s="284"/>
      <c r="BF28" s="285"/>
      <c r="BG28" s="176"/>
      <c r="BH28" s="284"/>
      <c r="BI28" s="285"/>
      <c r="BJ28" s="176"/>
      <c r="BK28" s="284"/>
      <c r="BL28" s="285"/>
      <c r="BM28" s="176"/>
      <c r="BN28" s="284"/>
      <c r="BO28" s="285"/>
      <c r="BP28" s="176"/>
      <c r="BQ28" s="284"/>
      <c r="BR28" s="285"/>
      <c r="BS28" s="176"/>
      <c r="BT28" s="284"/>
      <c r="BU28" s="285"/>
      <c r="BV28" s="176"/>
      <c r="BW28" s="284"/>
      <c r="BX28" s="285"/>
      <c r="BY28" s="176"/>
      <c r="BZ28" s="284"/>
      <c r="CA28" s="285"/>
      <c r="CB28" s="176"/>
      <c r="CC28" s="284"/>
      <c r="CD28" s="285"/>
      <c r="CE28" s="176"/>
      <c r="CF28" s="284"/>
      <c r="CG28" s="285"/>
      <c r="CH28" s="176"/>
      <c r="CI28" s="284"/>
      <c r="CJ28" s="285"/>
      <c r="CK28" s="176"/>
      <c r="CL28" s="284"/>
      <c r="CM28" s="285"/>
      <c r="CN28" s="176"/>
      <c r="CO28" s="284"/>
      <c r="CP28" s="285"/>
      <c r="CQ28" s="176"/>
    </row>
    <row r="29" spans="1:95" s="1" customFormat="1" ht="18.75" customHeight="1" x14ac:dyDescent="0.3">
      <c r="A29" s="337" t="s">
        <v>77</v>
      </c>
      <c r="B29" s="337"/>
      <c r="C29" s="337"/>
      <c r="D29" s="337"/>
      <c r="E29" s="337"/>
      <c r="F29" s="48">
        <f>IF(SUMMARY!$B$7=TRUE,IF(COUNTBLANK(F30:F36)&gt;0,0,1),"")</f>
        <v>1</v>
      </c>
      <c r="G29" s="50"/>
      <c r="H29" s="50"/>
      <c r="I29" s="50">
        <f>IF(SUMMARY!$B$8=TRUE,IF(COUNTBLANK(I30:I36)&gt;0,0,1),"")</f>
        <v>1</v>
      </c>
      <c r="J29" s="50"/>
      <c r="K29" s="50"/>
      <c r="L29" s="50">
        <f>IF(SUMMARY!$B$9=TRUE,IF(COUNTBLANK(L30:L36)&gt;0,0,1),"")</f>
        <v>1</v>
      </c>
      <c r="M29" s="50"/>
      <c r="N29" s="50"/>
      <c r="O29" s="50">
        <f>IF(SUMMARY!$B$10=TRUE,IF(COUNTBLANK(O30:O36)&gt;0,0,1),"")</f>
        <v>1</v>
      </c>
      <c r="P29" s="50"/>
      <c r="Q29" s="50"/>
      <c r="R29" s="50">
        <f>IF(SUMMARY!$B$11=TRUE,IF(COUNTBLANK(R30:R36)&gt;0,0,1),"")</f>
        <v>1</v>
      </c>
      <c r="S29" s="50"/>
      <c r="T29" s="50"/>
      <c r="U29" s="50">
        <f>IF(SUMMARY!$B$12=TRUE,IF(COUNTBLANK(U30:U36)&gt;0,0,1),"")</f>
        <v>1</v>
      </c>
      <c r="V29" s="50"/>
      <c r="W29" s="50"/>
      <c r="X29" s="50">
        <f>IF(SUMMARY!$B$13=TRUE,IF(COUNTBLANK(X30:X36)&gt;0,0,1),"")</f>
        <v>1</v>
      </c>
      <c r="Y29" s="50"/>
      <c r="Z29" s="50"/>
      <c r="AA29" s="50">
        <f>IF(SUMMARY!$B$14=TRUE,IF(COUNTBLANK(AA30:AA36)&gt;0,0,1),"")</f>
        <v>1</v>
      </c>
      <c r="AB29" s="50"/>
      <c r="AC29" s="50"/>
      <c r="AD29" s="50">
        <f>IF(SUMMARY!$B$15=TRUE,IF(COUNTBLANK(AD30:AD36)&gt;0,0,1),"")</f>
        <v>1</v>
      </c>
      <c r="AE29" s="50"/>
      <c r="AF29" s="50"/>
      <c r="AG29" s="50" t="str">
        <f>IF(SUMMARY!$B$16=TRUE,IF(COUNTBLANK(AG30:AG36)&gt;0,0,1),"")</f>
        <v/>
      </c>
      <c r="AH29" s="50"/>
      <c r="AI29" s="50"/>
      <c r="AJ29" s="50" t="str">
        <f>IF(SUMMARY!$B$17=TRUE,IF(COUNTBLANK(AJ30:AJ36)&gt;0,0,1),"")</f>
        <v/>
      </c>
      <c r="AK29" s="50"/>
      <c r="AL29" s="50"/>
      <c r="AM29" s="50" t="str">
        <f>IF(SUMMARY!$B$18=TRUE,IF(COUNTBLANK(AM30:AM36)&gt;0,0,1),"")</f>
        <v/>
      </c>
      <c r="AN29" s="50"/>
      <c r="AO29" s="50"/>
      <c r="AP29" s="50" t="str">
        <f>IF(SUMMARY!$B$19=TRUE,IF(COUNTBLANK(AP30:AP36)&gt;0,0,1),"")</f>
        <v/>
      </c>
      <c r="AQ29" s="50"/>
      <c r="AR29" s="50"/>
      <c r="AS29" s="50" t="str">
        <f>IF(SUMMARY!$B$20=TRUE,IF(COUNTBLANK(AS30:AS36)&gt;0,0,1),"")</f>
        <v/>
      </c>
      <c r="AT29" s="50"/>
      <c r="AU29" s="50"/>
      <c r="AV29" s="50" t="str">
        <f>IF(SUMMARY!$B$21=TRUE,IF(COUNTBLANK(AV30:AV36)&gt;0,0,1),"")</f>
        <v/>
      </c>
      <c r="AW29" s="50"/>
      <c r="AX29" s="50"/>
      <c r="AY29" s="50" t="str">
        <f>IF(SUMMARY!$B$22=TRUE,IF(COUNTBLANK(AY30:AY36)&gt;0,0,1),"")</f>
        <v/>
      </c>
      <c r="AZ29" s="50"/>
      <c r="BA29" s="50"/>
      <c r="BB29" s="50" t="str">
        <f>IF(SUMMARY!$B$23=TRUE,IF(COUNTBLANK(BB30:BB36)&gt;0,0,1),"")</f>
        <v/>
      </c>
      <c r="BC29" s="50"/>
      <c r="BD29" s="50"/>
      <c r="BE29" s="50" t="str">
        <f>IF(SUMMARY!$B$24=TRUE,IF(COUNTBLANK(BE30:BE36)&gt;0,0,1),"")</f>
        <v/>
      </c>
      <c r="BF29" s="50"/>
      <c r="BG29" s="50"/>
      <c r="BH29" s="50" t="str">
        <f>IF(SUMMARY!$B$25=TRUE,IF(COUNTBLANK(BH30:BH36)&gt;0,0,1),"")</f>
        <v/>
      </c>
      <c r="BI29" s="50"/>
      <c r="BJ29" s="50"/>
      <c r="BK29" s="50" t="str">
        <f>IF(SUMMARY!$B$26=TRUE,IF(COUNTBLANK(BK30:BK36)&gt;0,0,1),"")</f>
        <v/>
      </c>
      <c r="BL29" s="50"/>
      <c r="BM29" s="50"/>
      <c r="BN29" s="50" t="str">
        <f>IF(SUMMARY!$B$27=TRUE,IF(COUNTBLANK(BN30:BN36)&gt;0,0,1),"")</f>
        <v/>
      </c>
      <c r="BO29" s="50"/>
      <c r="BP29" s="50"/>
      <c r="BQ29" s="50" t="str">
        <f>IF(SUMMARY!$B$28=TRUE,IF(COUNTBLANK(BQ30:BQ36)&gt;0,0,1),"")</f>
        <v/>
      </c>
      <c r="BR29" s="50"/>
      <c r="BS29" s="50"/>
      <c r="BT29" s="50" t="str">
        <f>IF(SUMMARY!$B$29=TRUE,IF(COUNTBLANK(BT30:BT36)&gt;0,0,1),"")</f>
        <v/>
      </c>
      <c r="BU29" s="50"/>
      <c r="BV29" s="50"/>
      <c r="BW29" s="50" t="str">
        <f>IF(SUMMARY!$B$30=TRUE,IF(COUNTBLANK(BW30:BW36)&gt;0,0,1),"")</f>
        <v/>
      </c>
      <c r="BX29" s="50"/>
      <c r="BY29" s="50"/>
      <c r="BZ29" s="50" t="str">
        <f>IF(SUMMARY!$B$31=TRUE,IF(COUNTBLANK(BZ30:BZ36)&gt;0,0,1),"")</f>
        <v/>
      </c>
      <c r="CA29" s="50"/>
      <c r="CB29" s="50"/>
      <c r="CC29" s="50" t="str">
        <f>IF(SUMMARY!$B$32=TRUE,IF(COUNTBLANK(CC30:CC36)&gt;0,0,1),"")</f>
        <v/>
      </c>
      <c r="CD29" s="50"/>
      <c r="CE29" s="50"/>
      <c r="CF29" s="50" t="str">
        <f>IF(SUMMARY!$B$33=TRUE,IF(COUNTBLANK(CF30:CF36)&gt;0,0,1),"")</f>
        <v/>
      </c>
      <c r="CG29" s="50"/>
      <c r="CH29" s="50"/>
      <c r="CI29" s="50" t="str">
        <f>IF(SUMMARY!$B$34=TRUE,IF(COUNTBLANK(CI30:CI36)&gt;0,0,1),"")</f>
        <v/>
      </c>
      <c r="CJ29" s="50"/>
      <c r="CK29" s="50"/>
      <c r="CL29" s="50" t="str">
        <f>IF(SUMMARY!$B$35=TRUE,IF(COUNTBLANK(CL30:CL36)&gt;0,0,1),"")</f>
        <v/>
      </c>
      <c r="CM29" s="50"/>
      <c r="CN29" s="50"/>
      <c r="CO29" s="51" t="str">
        <f>IF(SUMMARY!$B$36=TRUE,IF(COUNTBLANK(CO30:CO36)&gt;0,0,1),"")</f>
        <v/>
      </c>
      <c r="CP29" s="50"/>
      <c r="CQ29" s="50"/>
    </row>
    <row r="30" spans="1:95" s="13" customFormat="1" ht="15" customHeight="1" x14ac:dyDescent="0.3">
      <c r="A30" s="69"/>
      <c r="B30" s="69" t="s">
        <v>36</v>
      </c>
      <c r="C30" s="69" t="s">
        <v>36</v>
      </c>
      <c r="D30" s="331" t="s">
        <v>78</v>
      </c>
      <c r="E30" s="332"/>
      <c r="F30" s="294" t="s">
        <v>357</v>
      </c>
      <c r="G30" s="295"/>
      <c r="H30" s="295"/>
      <c r="I30" s="294" t="s">
        <v>357</v>
      </c>
      <c r="J30" s="295"/>
      <c r="K30" s="295"/>
      <c r="L30" s="294" t="s">
        <v>357</v>
      </c>
      <c r="M30" s="295"/>
      <c r="N30" s="295"/>
      <c r="O30" s="294" t="s">
        <v>399</v>
      </c>
      <c r="P30" s="295"/>
      <c r="Q30" s="295"/>
      <c r="R30" s="294" t="s">
        <v>399</v>
      </c>
      <c r="S30" s="295"/>
      <c r="T30" s="295"/>
      <c r="U30" s="294" t="s">
        <v>399</v>
      </c>
      <c r="V30" s="295"/>
      <c r="W30" s="295"/>
      <c r="X30" s="294" t="s">
        <v>399</v>
      </c>
      <c r="Y30" s="295"/>
      <c r="Z30" s="295"/>
      <c r="AA30" s="294" t="s">
        <v>399</v>
      </c>
      <c r="AB30" s="295"/>
      <c r="AC30" s="295"/>
      <c r="AD30" s="294" t="s">
        <v>399</v>
      </c>
      <c r="AE30" s="295"/>
      <c r="AF30" s="295"/>
      <c r="AG30" s="294" t="s">
        <v>79</v>
      </c>
      <c r="AH30" s="295"/>
      <c r="AI30" s="295"/>
      <c r="AJ30" s="294" t="s">
        <v>79</v>
      </c>
      <c r="AK30" s="295"/>
      <c r="AL30" s="295"/>
      <c r="AM30" s="294"/>
      <c r="AN30" s="295"/>
      <c r="AO30" s="295"/>
      <c r="AP30" s="294"/>
      <c r="AQ30" s="295"/>
      <c r="AR30" s="295"/>
      <c r="AS30" s="294"/>
      <c r="AT30" s="295"/>
      <c r="AU30" s="295"/>
      <c r="AV30" s="294"/>
      <c r="AW30" s="295"/>
      <c r="AX30" s="295"/>
      <c r="AY30" s="294"/>
      <c r="AZ30" s="295"/>
      <c r="BA30" s="295"/>
      <c r="BB30" s="294"/>
      <c r="BC30" s="295"/>
      <c r="BD30" s="295"/>
      <c r="BE30" s="294"/>
      <c r="BF30" s="295"/>
      <c r="BG30" s="295"/>
      <c r="BH30" s="294"/>
      <c r="BI30" s="295"/>
      <c r="BJ30" s="295"/>
      <c r="BK30" s="294"/>
      <c r="BL30" s="295"/>
      <c r="BM30" s="295"/>
      <c r="BN30" s="294"/>
      <c r="BO30" s="295"/>
      <c r="BP30" s="295"/>
      <c r="BQ30" s="294"/>
      <c r="BR30" s="295"/>
      <c r="BS30" s="295"/>
      <c r="BT30" s="294"/>
      <c r="BU30" s="295"/>
      <c r="BV30" s="295"/>
      <c r="BW30" s="294"/>
      <c r="BX30" s="295"/>
      <c r="BY30" s="295"/>
      <c r="BZ30" s="294"/>
      <c r="CA30" s="295"/>
      <c r="CB30" s="295"/>
      <c r="CC30" s="294"/>
      <c r="CD30" s="295"/>
      <c r="CE30" s="295"/>
      <c r="CF30" s="294"/>
      <c r="CG30" s="295"/>
      <c r="CH30" s="295"/>
      <c r="CI30" s="294"/>
      <c r="CJ30" s="295"/>
      <c r="CK30" s="324"/>
      <c r="CL30" s="294"/>
      <c r="CM30" s="295"/>
      <c r="CN30" s="295"/>
      <c r="CO30" s="294"/>
      <c r="CP30" s="295"/>
      <c r="CQ30" s="295"/>
    </row>
    <row r="31" spans="1:95" s="13" customFormat="1" ht="30" customHeight="1" x14ac:dyDescent="0.3">
      <c r="A31" s="69"/>
      <c r="B31" s="69" t="s">
        <v>36</v>
      </c>
      <c r="C31" s="69" t="s">
        <v>36</v>
      </c>
      <c r="D31" s="329" t="s">
        <v>80</v>
      </c>
      <c r="E31" s="330"/>
      <c r="F31" s="288" t="s">
        <v>50</v>
      </c>
      <c r="G31" s="289"/>
      <c r="H31" s="289"/>
      <c r="I31" s="294" t="s">
        <v>357</v>
      </c>
      <c r="J31" s="295"/>
      <c r="K31" s="295"/>
      <c r="L31" s="294" t="s">
        <v>357</v>
      </c>
      <c r="M31" s="295"/>
      <c r="N31" s="295"/>
      <c r="O31" s="288" t="s">
        <v>402</v>
      </c>
      <c r="P31" s="289"/>
      <c r="Q31" s="289"/>
      <c r="R31" s="288" t="s">
        <v>403</v>
      </c>
      <c r="S31" s="289"/>
      <c r="T31" s="289"/>
      <c r="U31" s="288" t="s">
        <v>404</v>
      </c>
      <c r="V31" s="289"/>
      <c r="W31" s="289"/>
      <c r="X31" s="288" t="s">
        <v>405</v>
      </c>
      <c r="Y31" s="289"/>
      <c r="Z31" s="289"/>
      <c r="AA31" s="288" t="s">
        <v>400</v>
      </c>
      <c r="AB31" s="289"/>
      <c r="AC31" s="289"/>
      <c r="AD31" s="288" t="s">
        <v>401</v>
      </c>
      <c r="AE31" s="289"/>
      <c r="AF31" s="289"/>
      <c r="AG31" s="288" t="s">
        <v>81</v>
      </c>
      <c r="AH31" s="289"/>
      <c r="AI31" s="289"/>
      <c r="AJ31" s="288" t="s">
        <v>81</v>
      </c>
      <c r="AK31" s="289"/>
      <c r="AL31" s="289"/>
      <c r="AM31" s="288"/>
      <c r="AN31" s="289"/>
      <c r="AO31" s="289"/>
      <c r="AP31" s="288"/>
      <c r="AQ31" s="289"/>
      <c r="AR31" s="289"/>
      <c r="AS31" s="288"/>
      <c r="AT31" s="289"/>
      <c r="AU31" s="289"/>
      <c r="AV31" s="288"/>
      <c r="AW31" s="289"/>
      <c r="AX31" s="289"/>
      <c r="AY31" s="288"/>
      <c r="AZ31" s="289"/>
      <c r="BA31" s="289"/>
      <c r="BB31" s="288"/>
      <c r="BC31" s="289"/>
      <c r="BD31" s="289"/>
      <c r="BE31" s="288"/>
      <c r="BF31" s="289"/>
      <c r="BG31" s="289"/>
      <c r="BH31" s="288"/>
      <c r="BI31" s="289"/>
      <c r="BJ31" s="289"/>
      <c r="BK31" s="288"/>
      <c r="BL31" s="289"/>
      <c r="BM31" s="289"/>
      <c r="BN31" s="288"/>
      <c r="BO31" s="289"/>
      <c r="BP31" s="289"/>
      <c r="BQ31" s="288"/>
      <c r="BR31" s="289"/>
      <c r="BS31" s="289"/>
      <c r="BT31" s="288"/>
      <c r="BU31" s="289"/>
      <c r="BV31" s="289"/>
      <c r="BW31" s="288"/>
      <c r="BX31" s="289"/>
      <c r="BY31" s="289"/>
      <c r="BZ31" s="288"/>
      <c r="CA31" s="289"/>
      <c r="CB31" s="289"/>
      <c r="CC31" s="288"/>
      <c r="CD31" s="289"/>
      <c r="CE31" s="289"/>
      <c r="CF31" s="288"/>
      <c r="CG31" s="289"/>
      <c r="CH31" s="289"/>
      <c r="CI31" s="288"/>
      <c r="CJ31" s="289"/>
      <c r="CK31" s="289"/>
      <c r="CL31" s="288"/>
      <c r="CM31" s="289"/>
      <c r="CN31" s="289"/>
      <c r="CO31" s="288"/>
      <c r="CP31" s="289"/>
      <c r="CQ31" s="289"/>
    </row>
    <row r="32" spans="1:95" s="13" customFormat="1" ht="15" customHeight="1" x14ac:dyDescent="0.3">
      <c r="A32" s="62"/>
      <c r="B32" s="62"/>
      <c r="C32" s="62" t="s">
        <v>36</v>
      </c>
      <c r="D32" s="329" t="s">
        <v>82</v>
      </c>
      <c r="E32" s="330"/>
      <c r="F32" s="288" t="s">
        <v>83</v>
      </c>
      <c r="G32" s="289"/>
      <c r="H32" s="289"/>
      <c r="I32" s="288" t="s">
        <v>50</v>
      </c>
      <c r="J32" s="289"/>
      <c r="K32" s="289"/>
      <c r="L32" s="288" t="s">
        <v>50</v>
      </c>
      <c r="M32" s="289"/>
      <c r="N32" s="289"/>
      <c r="O32" s="288" t="s">
        <v>83</v>
      </c>
      <c r="P32" s="289"/>
      <c r="Q32" s="289"/>
      <c r="R32" s="288" t="s">
        <v>83</v>
      </c>
      <c r="S32" s="289"/>
      <c r="T32" s="289"/>
      <c r="U32" s="288" t="s">
        <v>83</v>
      </c>
      <c r="V32" s="289"/>
      <c r="W32" s="289"/>
      <c r="X32" s="288" t="s">
        <v>83</v>
      </c>
      <c r="Y32" s="289"/>
      <c r="Z32" s="289"/>
      <c r="AA32" s="288" t="s">
        <v>83</v>
      </c>
      <c r="AB32" s="289"/>
      <c r="AC32" s="289"/>
      <c r="AD32" s="288" t="s">
        <v>83</v>
      </c>
      <c r="AE32" s="289"/>
      <c r="AF32" s="289"/>
      <c r="AG32" s="288" t="s">
        <v>83</v>
      </c>
      <c r="AH32" s="289"/>
      <c r="AI32" s="289"/>
      <c r="AJ32" s="288" t="s">
        <v>83</v>
      </c>
      <c r="AK32" s="289"/>
      <c r="AL32" s="289"/>
      <c r="AM32" s="288"/>
      <c r="AN32" s="289"/>
      <c r="AO32" s="289"/>
      <c r="AP32" s="288"/>
      <c r="AQ32" s="289"/>
      <c r="AR32" s="289"/>
      <c r="AS32" s="288"/>
      <c r="AT32" s="289"/>
      <c r="AU32" s="289"/>
      <c r="AV32" s="288"/>
      <c r="AW32" s="289"/>
      <c r="AX32" s="289"/>
      <c r="AY32" s="288"/>
      <c r="AZ32" s="289"/>
      <c r="BA32" s="289"/>
      <c r="BB32" s="288"/>
      <c r="BC32" s="289"/>
      <c r="BD32" s="289"/>
      <c r="BE32" s="288"/>
      <c r="BF32" s="289"/>
      <c r="BG32" s="289"/>
      <c r="BH32" s="288"/>
      <c r="BI32" s="289"/>
      <c r="BJ32" s="289"/>
      <c r="BK32" s="288"/>
      <c r="BL32" s="289"/>
      <c r="BM32" s="289"/>
      <c r="BN32" s="288"/>
      <c r="BO32" s="289"/>
      <c r="BP32" s="289"/>
      <c r="BQ32" s="288"/>
      <c r="BR32" s="289"/>
      <c r="BS32" s="289"/>
      <c r="BT32" s="288"/>
      <c r="BU32" s="289"/>
      <c r="BV32" s="289"/>
      <c r="BW32" s="288"/>
      <c r="BX32" s="289"/>
      <c r="BY32" s="289"/>
      <c r="BZ32" s="288"/>
      <c r="CA32" s="289"/>
      <c r="CB32" s="289"/>
      <c r="CC32" s="288"/>
      <c r="CD32" s="289"/>
      <c r="CE32" s="289"/>
      <c r="CF32" s="288"/>
      <c r="CG32" s="289"/>
      <c r="CH32" s="289"/>
      <c r="CI32" s="288"/>
      <c r="CJ32" s="289"/>
      <c r="CK32" s="289"/>
      <c r="CL32" s="288"/>
      <c r="CM32" s="289"/>
      <c r="CN32" s="289"/>
      <c r="CO32" s="288"/>
      <c r="CP32" s="289"/>
      <c r="CQ32" s="289"/>
    </row>
    <row r="33" spans="1:95" s="13" customFormat="1" ht="15" customHeight="1" x14ac:dyDescent="0.3">
      <c r="A33" s="63" t="s">
        <v>36</v>
      </c>
      <c r="B33" s="63" t="s">
        <v>36</v>
      </c>
      <c r="C33" s="63"/>
      <c r="D33" s="329" t="s">
        <v>84</v>
      </c>
      <c r="E33" s="330"/>
      <c r="F33" s="288" t="s">
        <v>85</v>
      </c>
      <c r="G33" s="289"/>
      <c r="H33" s="289"/>
      <c r="I33" s="288" t="s">
        <v>85</v>
      </c>
      <c r="J33" s="289"/>
      <c r="K33" s="289"/>
      <c r="L33" s="288" t="s">
        <v>85</v>
      </c>
      <c r="M33" s="289"/>
      <c r="N33" s="289"/>
      <c r="O33" s="288" t="s">
        <v>85</v>
      </c>
      <c r="P33" s="289"/>
      <c r="Q33" s="289"/>
      <c r="R33" s="288" t="s">
        <v>85</v>
      </c>
      <c r="S33" s="289"/>
      <c r="T33" s="289"/>
      <c r="U33" s="288" t="s">
        <v>85</v>
      </c>
      <c r="V33" s="289"/>
      <c r="W33" s="289"/>
      <c r="X33" s="288" t="s">
        <v>85</v>
      </c>
      <c r="Y33" s="289"/>
      <c r="Z33" s="289"/>
      <c r="AA33" s="288" t="s">
        <v>85</v>
      </c>
      <c r="AB33" s="289"/>
      <c r="AC33" s="289"/>
      <c r="AD33" s="288" t="s">
        <v>85</v>
      </c>
      <c r="AE33" s="289"/>
      <c r="AF33" s="289"/>
      <c r="AG33" s="288" t="s">
        <v>85</v>
      </c>
      <c r="AH33" s="289"/>
      <c r="AI33" s="289"/>
      <c r="AJ33" s="288" t="s">
        <v>85</v>
      </c>
      <c r="AK33" s="289"/>
      <c r="AL33" s="289"/>
      <c r="AM33" s="288"/>
      <c r="AN33" s="289"/>
      <c r="AO33" s="289"/>
      <c r="AP33" s="288"/>
      <c r="AQ33" s="289"/>
      <c r="AR33" s="289"/>
      <c r="AS33" s="288"/>
      <c r="AT33" s="289"/>
      <c r="AU33" s="289"/>
      <c r="AV33" s="288"/>
      <c r="AW33" s="289"/>
      <c r="AX33" s="289"/>
      <c r="AY33" s="288"/>
      <c r="AZ33" s="289"/>
      <c r="BA33" s="289"/>
      <c r="BB33" s="288"/>
      <c r="BC33" s="289"/>
      <c r="BD33" s="289"/>
      <c r="BE33" s="288"/>
      <c r="BF33" s="289"/>
      <c r="BG33" s="289"/>
      <c r="BH33" s="288"/>
      <c r="BI33" s="289"/>
      <c r="BJ33" s="289"/>
      <c r="BK33" s="288"/>
      <c r="BL33" s="289"/>
      <c r="BM33" s="289"/>
      <c r="BN33" s="288"/>
      <c r="BO33" s="289"/>
      <c r="BP33" s="289"/>
      <c r="BQ33" s="288"/>
      <c r="BR33" s="289"/>
      <c r="BS33" s="289"/>
      <c r="BT33" s="288"/>
      <c r="BU33" s="289"/>
      <c r="BV33" s="289"/>
      <c r="BW33" s="288"/>
      <c r="BX33" s="289"/>
      <c r="BY33" s="289"/>
      <c r="BZ33" s="288"/>
      <c r="CA33" s="289"/>
      <c r="CB33" s="289"/>
      <c r="CC33" s="288"/>
      <c r="CD33" s="289"/>
      <c r="CE33" s="289"/>
      <c r="CF33" s="288"/>
      <c r="CG33" s="289"/>
      <c r="CH33" s="289"/>
      <c r="CI33" s="288"/>
      <c r="CJ33" s="289"/>
      <c r="CK33" s="289"/>
      <c r="CL33" s="288"/>
      <c r="CM33" s="289"/>
      <c r="CN33" s="289"/>
      <c r="CO33" s="288"/>
      <c r="CP33" s="289"/>
      <c r="CQ33" s="289"/>
    </row>
    <row r="34" spans="1:95" s="13" customFormat="1" ht="15" customHeight="1" x14ac:dyDescent="0.3">
      <c r="A34" s="63"/>
      <c r="B34" s="63"/>
      <c r="C34" s="63" t="s">
        <v>36</v>
      </c>
      <c r="D34" s="335" t="s">
        <v>86</v>
      </c>
      <c r="E34" s="336"/>
      <c r="F34" s="288" t="s">
        <v>50</v>
      </c>
      <c r="G34" s="289"/>
      <c r="H34" s="289"/>
      <c r="I34" s="288" t="s">
        <v>50</v>
      </c>
      <c r="J34" s="289"/>
      <c r="K34" s="289"/>
      <c r="L34" s="288" t="s">
        <v>50</v>
      </c>
      <c r="M34" s="289"/>
      <c r="N34" s="289"/>
      <c r="O34" s="288" t="s">
        <v>50</v>
      </c>
      <c r="P34" s="289"/>
      <c r="Q34" s="289"/>
      <c r="R34" s="288" t="s">
        <v>50</v>
      </c>
      <c r="S34" s="289"/>
      <c r="T34" s="289"/>
      <c r="U34" s="288" t="s">
        <v>50</v>
      </c>
      <c r="V34" s="289"/>
      <c r="W34" s="289"/>
      <c r="X34" s="288" t="s">
        <v>50</v>
      </c>
      <c r="Y34" s="289"/>
      <c r="Z34" s="289"/>
      <c r="AA34" s="288" t="s">
        <v>50</v>
      </c>
      <c r="AB34" s="289"/>
      <c r="AC34" s="289"/>
      <c r="AD34" s="288" t="s">
        <v>50</v>
      </c>
      <c r="AE34" s="289"/>
      <c r="AF34" s="289"/>
      <c r="AG34" s="288" t="s">
        <v>58</v>
      </c>
      <c r="AH34" s="289"/>
      <c r="AI34" s="289"/>
      <c r="AJ34" s="288" t="s">
        <v>58</v>
      </c>
      <c r="AK34" s="289"/>
      <c r="AL34" s="289"/>
      <c r="AM34" s="288"/>
      <c r="AN34" s="289"/>
      <c r="AO34" s="289"/>
      <c r="AP34" s="288"/>
      <c r="AQ34" s="289"/>
      <c r="AR34" s="289"/>
      <c r="AS34" s="288"/>
      <c r="AT34" s="289"/>
      <c r="AU34" s="289"/>
      <c r="AV34" s="288"/>
      <c r="AW34" s="289"/>
      <c r="AX34" s="289"/>
      <c r="AY34" s="288"/>
      <c r="AZ34" s="289"/>
      <c r="BA34" s="289"/>
      <c r="BB34" s="288"/>
      <c r="BC34" s="289"/>
      <c r="BD34" s="289"/>
      <c r="BE34" s="288"/>
      <c r="BF34" s="289"/>
      <c r="BG34" s="289"/>
      <c r="BH34" s="288"/>
      <c r="BI34" s="289"/>
      <c r="BJ34" s="289"/>
      <c r="BK34" s="288"/>
      <c r="BL34" s="289"/>
      <c r="BM34" s="289"/>
      <c r="BN34" s="288"/>
      <c r="BO34" s="289"/>
      <c r="BP34" s="289"/>
      <c r="BQ34" s="288"/>
      <c r="BR34" s="289"/>
      <c r="BS34" s="289"/>
      <c r="BT34" s="288"/>
      <c r="BU34" s="289"/>
      <c r="BV34" s="289"/>
      <c r="BW34" s="288"/>
      <c r="BX34" s="289"/>
      <c r="BY34" s="289"/>
      <c r="BZ34" s="288"/>
      <c r="CA34" s="289"/>
      <c r="CB34" s="289"/>
      <c r="CC34" s="288"/>
      <c r="CD34" s="289"/>
      <c r="CE34" s="289"/>
      <c r="CF34" s="288"/>
      <c r="CG34" s="289"/>
      <c r="CH34" s="289"/>
      <c r="CI34" s="288"/>
      <c r="CJ34" s="289"/>
      <c r="CK34" s="289"/>
      <c r="CL34" s="288"/>
      <c r="CM34" s="289"/>
      <c r="CN34" s="289"/>
      <c r="CO34" s="288"/>
      <c r="CP34" s="289"/>
      <c r="CQ34" s="289"/>
    </row>
    <row r="35" spans="1:95" s="13" customFormat="1" ht="15" customHeight="1" x14ac:dyDescent="0.3">
      <c r="A35" s="63"/>
      <c r="B35" s="63"/>
      <c r="C35" s="63" t="s">
        <v>36</v>
      </c>
      <c r="D35" s="335" t="s">
        <v>87</v>
      </c>
      <c r="E35" s="336"/>
      <c r="F35" s="288" t="s">
        <v>50</v>
      </c>
      <c r="G35" s="289"/>
      <c r="H35" s="289"/>
      <c r="I35" s="288" t="s">
        <v>50</v>
      </c>
      <c r="J35" s="289"/>
      <c r="K35" s="289"/>
      <c r="L35" s="288" t="s">
        <v>50</v>
      </c>
      <c r="M35" s="289"/>
      <c r="N35" s="289"/>
      <c r="O35" s="288" t="s">
        <v>88</v>
      </c>
      <c r="P35" s="289"/>
      <c r="Q35" s="289"/>
      <c r="R35" s="288" t="s">
        <v>88</v>
      </c>
      <c r="S35" s="289"/>
      <c r="T35" s="289"/>
      <c r="U35" s="288" t="s">
        <v>88</v>
      </c>
      <c r="V35" s="289"/>
      <c r="W35" s="289"/>
      <c r="X35" s="288" t="s">
        <v>50</v>
      </c>
      <c r="Y35" s="289"/>
      <c r="Z35" s="289"/>
      <c r="AA35" s="288" t="s">
        <v>50</v>
      </c>
      <c r="AB35" s="289"/>
      <c r="AC35" s="289"/>
      <c r="AD35" s="288" t="s">
        <v>50</v>
      </c>
      <c r="AE35" s="289"/>
      <c r="AF35" s="289"/>
      <c r="AG35" s="288" t="s">
        <v>88</v>
      </c>
      <c r="AH35" s="289"/>
      <c r="AI35" s="289"/>
      <c r="AJ35" s="288" t="s">
        <v>88</v>
      </c>
      <c r="AK35" s="289"/>
      <c r="AL35" s="289"/>
      <c r="AM35" s="288"/>
      <c r="AN35" s="289"/>
      <c r="AO35" s="289"/>
      <c r="AP35" s="288"/>
      <c r="AQ35" s="289"/>
      <c r="AR35" s="289"/>
      <c r="AS35" s="288"/>
      <c r="AT35" s="289"/>
      <c r="AU35" s="289"/>
      <c r="AV35" s="288"/>
      <c r="AW35" s="289"/>
      <c r="AX35" s="289"/>
      <c r="AY35" s="288"/>
      <c r="AZ35" s="289"/>
      <c r="BA35" s="289"/>
      <c r="BB35" s="288"/>
      <c r="BC35" s="289"/>
      <c r="BD35" s="289"/>
      <c r="BE35" s="288"/>
      <c r="BF35" s="289"/>
      <c r="BG35" s="289"/>
      <c r="BH35" s="288"/>
      <c r="BI35" s="289"/>
      <c r="BJ35" s="289"/>
      <c r="BK35" s="288"/>
      <c r="BL35" s="289"/>
      <c r="BM35" s="289"/>
      <c r="BN35" s="288"/>
      <c r="BO35" s="289"/>
      <c r="BP35" s="289"/>
      <c r="BQ35" s="288"/>
      <c r="BR35" s="289"/>
      <c r="BS35" s="289"/>
      <c r="BT35" s="288"/>
      <c r="BU35" s="289"/>
      <c r="BV35" s="289"/>
      <c r="BW35" s="288"/>
      <c r="BX35" s="289"/>
      <c r="BY35" s="289"/>
      <c r="BZ35" s="288"/>
      <c r="CA35" s="289"/>
      <c r="CB35" s="289"/>
      <c r="CC35" s="288"/>
      <c r="CD35" s="289"/>
      <c r="CE35" s="289"/>
      <c r="CF35" s="288"/>
      <c r="CG35" s="289"/>
      <c r="CH35" s="289"/>
      <c r="CI35" s="288"/>
      <c r="CJ35" s="289"/>
      <c r="CK35" s="289"/>
      <c r="CL35" s="288"/>
      <c r="CM35" s="289"/>
      <c r="CN35" s="289"/>
      <c r="CO35" s="288"/>
      <c r="CP35" s="289"/>
      <c r="CQ35" s="289"/>
    </row>
    <row r="36" spans="1:95" s="13" customFormat="1" ht="15" customHeight="1" x14ac:dyDescent="0.3">
      <c r="A36" s="58"/>
      <c r="B36" s="58" t="s">
        <v>36</v>
      </c>
      <c r="C36" s="58"/>
      <c r="D36" s="333" t="s">
        <v>89</v>
      </c>
      <c r="E36" s="334"/>
      <c r="F36" s="290" t="s">
        <v>358</v>
      </c>
      <c r="G36" s="291"/>
      <c r="H36" s="291"/>
      <c r="I36" s="290" t="s">
        <v>358</v>
      </c>
      <c r="J36" s="291"/>
      <c r="K36" s="291"/>
      <c r="L36" s="290" t="s">
        <v>358</v>
      </c>
      <c r="M36" s="291"/>
      <c r="N36" s="291"/>
      <c r="O36" s="290" t="s">
        <v>358</v>
      </c>
      <c r="P36" s="291"/>
      <c r="Q36" s="291"/>
      <c r="R36" s="290" t="s">
        <v>358</v>
      </c>
      <c r="S36" s="291"/>
      <c r="T36" s="291"/>
      <c r="U36" s="290" t="s">
        <v>358</v>
      </c>
      <c r="V36" s="291"/>
      <c r="W36" s="291"/>
      <c r="X36" s="290" t="s">
        <v>358</v>
      </c>
      <c r="Y36" s="291"/>
      <c r="Z36" s="291"/>
      <c r="AA36" s="290" t="s">
        <v>358</v>
      </c>
      <c r="AB36" s="291"/>
      <c r="AC36" s="291"/>
      <c r="AD36" s="290" t="s">
        <v>358</v>
      </c>
      <c r="AE36" s="291"/>
      <c r="AF36" s="291"/>
      <c r="AG36" s="290" t="s">
        <v>90</v>
      </c>
      <c r="AH36" s="291"/>
      <c r="AI36" s="291"/>
      <c r="AJ36" s="290" t="s">
        <v>90</v>
      </c>
      <c r="AK36" s="291"/>
      <c r="AL36" s="291"/>
      <c r="AM36" s="290"/>
      <c r="AN36" s="291"/>
      <c r="AO36" s="291"/>
      <c r="AP36" s="290"/>
      <c r="AQ36" s="291"/>
      <c r="AR36" s="291"/>
      <c r="AS36" s="290"/>
      <c r="AT36" s="291"/>
      <c r="AU36" s="291"/>
      <c r="AV36" s="290"/>
      <c r="AW36" s="291"/>
      <c r="AX36" s="291"/>
      <c r="AY36" s="290"/>
      <c r="AZ36" s="291"/>
      <c r="BA36" s="291"/>
      <c r="BB36" s="290"/>
      <c r="BC36" s="291"/>
      <c r="BD36" s="291"/>
      <c r="BE36" s="290"/>
      <c r="BF36" s="291"/>
      <c r="BG36" s="291"/>
      <c r="BH36" s="290"/>
      <c r="BI36" s="291"/>
      <c r="BJ36" s="291"/>
      <c r="BK36" s="290"/>
      <c r="BL36" s="291"/>
      <c r="BM36" s="291"/>
      <c r="BN36" s="290"/>
      <c r="BO36" s="291"/>
      <c r="BP36" s="291"/>
      <c r="BQ36" s="290"/>
      <c r="BR36" s="291"/>
      <c r="BS36" s="291"/>
      <c r="BT36" s="290"/>
      <c r="BU36" s="291"/>
      <c r="BV36" s="291"/>
      <c r="BW36" s="290"/>
      <c r="BX36" s="291"/>
      <c r="BY36" s="291"/>
      <c r="BZ36" s="290"/>
      <c r="CA36" s="291"/>
      <c r="CB36" s="291"/>
      <c r="CC36" s="290"/>
      <c r="CD36" s="291"/>
      <c r="CE36" s="291"/>
      <c r="CF36" s="290"/>
      <c r="CG36" s="291"/>
      <c r="CH36" s="291"/>
      <c r="CI36" s="290"/>
      <c r="CJ36" s="291"/>
      <c r="CK36" s="291"/>
      <c r="CL36" s="290"/>
      <c r="CM36" s="291"/>
      <c r="CN36" s="291"/>
      <c r="CO36" s="290"/>
      <c r="CP36" s="291"/>
      <c r="CQ36" s="291"/>
    </row>
    <row r="37" spans="1:95" s="1" customFormat="1" ht="18.75" customHeight="1" x14ac:dyDescent="0.3">
      <c r="A37" s="337" t="s">
        <v>91</v>
      </c>
      <c r="B37" s="337"/>
      <c r="C37" s="337"/>
      <c r="D37" s="337"/>
      <c r="E37" s="337"/>
      <c r="F37" s="48">
        <f>IF(SUMMARY!$B$7=TRUE,IF(COUNTBLANK(F38:F43)&gt;0,0,1),"")</f>
        <v>1</v>
      </c>
      <c r="G37" s="49"/>
      <c r="H37" s="49"/>
      <c r="I37" s="50">
        <f>IF(SUMMARY!$B$8=TRUE,IF(COUNTBLANK(I38:I43)&gt;0,0,1),"")</f>
        <v>1</v>
      </c>
      <c r="J37" s="49"/>
      <c r="K37" s="49"/>
      <c r="L37" s="50">
        <f>IF(SUMMARY!$B$9=TRUE,IF(COUNTBLANK(L38:L43)&gt;0,0,1),"")</f>
        <v>1</v>
      </c>
      <c r="M37" s="49"/>
      <c r="N37" s="49"/>
      <c r="O37" s="50">
        <f>IF(SUMMARY!$B$10=TRUE,IF(COUNTBLANK(O38:O43)&gt;0,0,1),"")</f>
        <v>1</v>
      </c>
      <c r="P37" s="49"/>
      <c r="Q37" s="49"/>
      <c r="R37" s="50">
        <f>IF(SUMMARY!$B$11=TRUE,IF(COUNTBLANK(R38:R43)&gt;0,0,1),"")</f>
        <v>1</v>
      </c>
      <c r="S37" s="49"/>
      <c r="T37" s="49"/>
      <c r="U37" s="50">
        <f>IF(SUMMARY!$B$12=TRUE,IF(COUNTBLANK(U38:U43)&gt;0,0,1),"")</f>
        <v>1</v>
      </c>
      <c r="V37" s="49"/>
      <c r="W37" s="49"/>
      <c r="X37" s="50">
        <f>IF(SUMMARY!$B$13=TRUE,IF(COUNTBLANK(X38:X43)&gt;0,0,1),"")</f>
        <v>1</v>
      </c>
      <c r="Y37" s="49"/>
      <c r="Z37" s="49"/>
      <c r="AA37" s="50">
        <f>IF(SUMMARY!$B$14=TRUE,IF(COUNTBLANK(AA38:AA43)&gt;0,0,1),"")</f>
        <v>1</v>
      </c>
      <c r="AB37" s="49"/>
      <c r="AC37" s="49"/>
      <c r="AD37" s="50">
        <f>IF(SUMMARY!$B$15=TRUE,IF(COUNTBLANK(AD38:AD43)&gt;0,0,1),"")</f>
        <v>1</v>
      </c>
      <c r="AE37" s="49"/>
      <c r="AF37" s="49"/>
      <c r="AG37" s="50" t="str">
        <f>IF(SUMMARY!$B$16=TRUE,IF(COUNTBLANK(AG38:AG43)&gt;0,0,1),"")</f>
        <v/>
      </c>
      <c r="AH37" s="49"/>
      <c r="AI37" s="49"/>
      <c r="AJ37" s="50" t="str">
        <f>IF(SUMMARY!$B$17=TRUE,IF(COUNTBLANK(AJ38:AJ43)&gt;0,0,1),"")</f>
        <v/>
      </c>
      <c r="AK37" s="49"/>
      <c r="AL37" s="49"/>
      <c r="AM37" s="50" t="str">
        <f>IF(SUMMARY!$B$18=TRUE,IF(COUNTBLANK(AM38:AM43)&gt;0,0,1),"")</f>
        <v/>
      </c>
      <c r="AN37" s="49"/>
      <c r="AO37" s="49"/>
      <c r="AP37" s="50" t="str">
        <f>IF(SUMMARY!$B$19=TRUE,IF(COUNTBLANK(AP38:AP43)&gt;0,0,1),"")</f>
        <v/>
      </c>
      <c r="AQ37" s="49"/>
      <c r="AR37" s="49"/>
      <c r="AS37" s="50" t="str">
        <f>IF(SUMMARY!$B$20=TRUE,IF(COUNTBLANK(AS38:AS43)&gt;0,0,1),"")</f>
        <v/>
      </c>
      <c r="AT37" s="49"/>
      <c r="AU37" s="49"/>
      <c r="AV37" s="50" t="str">
        <f>IF(SUMMARY!$B$21=TRUE,IF(COUNTBLANK(AV38:AV43)&gt;0,0,1),"")</f>
        <v/>
      </c>
      <c r="AW37" s="49"/>
      <c r="AX37" s="49"/>
      <c r="AY37" s="50" t="str">
        <f>IF(SUMMARY!$B$22=TRUE,IF(COUNTBLANK(AY38:AY43)&gt;0,0,1),"")</f>
        <v/>
      </c>
      <c r="AZ37" s="49"/>
      <c r="BA37" s="49"/>
      <c r="BB37" s="50" t="str">
        <f>IF(SUMMARY!$B$23=TRUE,IF(COUNTBLANK(BB38:BB43)&gt;0,0,1),"")</f>
        <v/>
      </c>
      <c r="BC37" s="49"/>
      <c r="BD37" s="49"/>
      <c r="BE37" s="50" t="str">
        <f>IF(SUMMARY!$B$24=TRUE,IF(COUNTBLANK(BE38:BE43)&gt;0,0,1),"")</f>
        <v/>
      </c>
      <c r="BF37" s="49"/>
      <c r="BG37" s="49"/>
      <c r="BH37" s="50" t="str">
        <f>IF(SUMMARY!$B$25=TRUE,IF(COUNTBLANK(BH38:BH43)&gt;0,0,1),"")</f>
        <v/>
      </c>
      <c r="BI37" s="49"/>
      <c r="BJ37" s="49"/>
      <c r="BK37" s="50" t="str">
        <f>IF(SUMMARY!$B$26=TRUE,IF(COUNTBLANK(BK38:BK43)&gt;0,0,1),"")</f>
        <v/>
      </c>
      <c r="BL37" s="49"/>
      <c r="BM37" s="49"/>
      <c r="BN37" s="50" t="str">
        <f>IF(SUMMARY!$B$27=TRUE,IF(COUNTBLANK(BN38:BN43)&gt;0,0,1),"")</f>
        <v/>
      </c>
      <c r="BO37" s="49"/>
      <c r="BP37" s="49"/>
      <c r="BQ37" s="50" t="str">
        <f>IF(SUMMARY!$B$28=TRUE,IF(COUNTBLANK(BQ38:BQ43)&gt;0,0,1),"")</f>
        <v/>
      </c>
      <c r="BR37" s="49"/>
      <c r="BS37" s="49"/>
      <c r="BT37" s="50" t="str">
        <f>IF(SUMMARY!$B$29=TRUE,IF(COUNTBLANK(BT38:BT43)&gt;0,0,1),"")</f>
        <v/>
      </c>
      <c r="BU37" s="49"/>
      <c r="BV37" s="49"/>
      <c r="BW37" s="50" t="str">
        <f>IF(SUMMARY!$B$30=TRUE,IF(COUNTBLANK(BW38:BW43)&gt;0,0,1),"")</f>
        <v/>
      </c>
      <c r="BX37" s="49"/>
      <c r="BY37" s="49"/>
      <c r="BZ37" s="50" t="str">
        <f>IF(SUMMARY!$B$31=TRUE,IF(COUNTBLANK(BZ38:BZ43)&gt;0,0,1),"")</f>
        <v/>
      </c>
      <c r="CA37" s="49"/>
      <c r="CB37" s="49"/>
      <c r="CC37" s="50" t="str">
        <f>IF(SUMMARY!$B$32=TRUE,IF(COUNTBLANK(CC38:CC43)&gt;0,0,1),"")</f>
        <v/>
      </c>
      <c r="CD37" s="49"/>
      <c r="CE37" s="49"/>
      <c r="CF37" s="50" t="str">
        <f>IF(SUMMARY!$B$33=TRUE,IF(COUNTBLANK(CF38:CF43)&gt;0,0,1),"")</f>
        <v/>
      </c>
      <c r="CG37" s="49"/>
      <c r="CH37" s="49"/>
      <c r="CI37" s="50" t="str">
        <f>IF(SUMMARY!$B$34=TRUE,IF(COUNTBLANK(CI38:CI43)&gt;0,0,1),"")</f>
        <v/>
      </c>
      <c r="CJ37" s="49"/>
      <c r="CK37" s="49"/>
      <c r="CL37" s="50" t="str">
        <f>IF(SUMMARY!$B$35=TRUE,IF(COUNTBLANK(CL38:CL43)&gt;0,0,1),"")</f>
        <v/>
      </c>
      <c r="CM37" s="49"/>
      <c r="CN37" s="49"/>
      <c r="CO37" s="51" t="str">
        <f>IF(SUMMARY!$B$36=TRUE,IF(COUNTBLANK(CO38:CO43)&gt;0,0,1),"")</f>
        <v/>
      </c>
      <c r="CP37" s="49"/>
      <c r="CQ37" s="49"/>
    </row>
    <row r="38" spans="1:95" s="13" customFormat="1" ht="15" customHeight="1" x14ac:dyDescent="0.3">
      <c r="A38" s="69" t="s">
        <v>36</v>
      </c>
      <c r="B38" s="69"/>
      <c r="C38" s="69"/>
      <c r="D38" s="331" t="s">
        <v>92</v>
      </c>
      <c r="E38" s="332"/>
      <c r="F38" s="315">
        <v>0</v>
      </c>
      <c r="G38" s="316"/>
      <c r="H38" s="316"/>
      <c r="I38" s="294">
        <v>74</v>
      </c>
      <c r="J38" s="295"/>
      <c r="K38" s="295"/>
      <c r="L38" s="294">
        <v>74</v>
      </c>
      <c r="M38" s="295"/>
      <c r="N38" s="324"/>
      <c r="O38" s="294">
        <v>0</v>
      </c>
      <c r="P38" s="295"/>
      <c r="Q38" s="295"/>
      <c r="R38" s="294">
        <v>100</v>
      </c>
      <c r="S38" s="295"/>
      <c r="T38" s="295"/>
      <c r="U38" s="294">
        <v>9</v>
      </c>
      <c r="V38" s="295"/>
      <c r="W38" s="295"/>
      <c r="X38" s="294">
        <v>86</v>
      </c>
      <c r="Y38" s="295"/>
      <c r="Z38" s="295"/>
      <c r="AA38" s="294">
        <v>90</v>
      </c>
      <c r="AB38" s="295"/>
      <c r="AC38" s="295"/>
      <c r="AD38" s="294">
        <v>0</v>
      </c>
      <c r="AE38" s="295"/>
      <c r="AF38" s="295"/>
      <c r="AG38" s="294">
        <v>26</v>
      </c>
      <c r="AH38" s="295"/>
      <c r="AI38" s="295"/>
      <c r="AJ38" s="294">
        <v>27</v>
      </c>
      <c r="AK38" s="295"/>
      <c r="AL38" s="295"/>
      <c r="AM38" s="294"/>
      <c r="AN38" s="295"/>
      <c r="AO38" s="295"/>
      <c r="AP38" s="294"/>
      <c r="AQ38" s="295"/>
      <c r="AR38" s="295"/>
      <c r="AS38" s="294"/>
      <c r="AT38" s="295"/>
      <c r="AU38" s="295"/>
      <c r="AV38" s="294"/>
      <c r="AW38" s="295"/>
      <c r="AX38" s="295"/>
      <c r="AY38" s="294"/>
      <c r="AZ38" s="295"/>
      <c r="BA38" s="295"/>
      <c r="BB38" s="294"/>
      <c r="BC38" s="295"/>
      <c r="BD38" s="295"/>
      <c r="BE38" s="294"/>
      <c r="BF38" s="295"/>
      <c r="BG38" s="295"/>
      <c r="BH38" s="294"/>
      <c r="BI38" s="295"/>
      <c r="BJ38" s="295"/>
      <c r="BK38" s="294"/>
      <c r="BL38" s="295"/>
      <c r="BM38" s="295"/>
      <c r="BN38" s="294"/>
      <c r="BO38" s="295"/>
      <c r="BP38" s="295"/>
      <c r="BQ38" s="294"/>
      <c r="BR38" s="295"/>
      <c r="BS38" s="295"/>
      <c r="BT38" s="294"/>
      <c r="BU38" s="295"/>
      <c r="BV38" s="295"/>
      <c r="BW38" s="294"/>
      <c r="BX38" s="295"/>
      <c r="BY38" s="295"/>
      <c r="BZ38" s="294"/>
      <c r="CA38" s="295"/>
      <c r="CB38" s="295"/>
      <c r="CC38" s="294"/>
      <c r="CD38" s="295"/>
      <c r="CE38" s="295"/>
      <c r="CF38" s="294"/>
      <c r="CG38" s="295"/>
      <c r="CH38" s="295"/>
      <c r="CI38" s="294"/>
      <c r="CJ38" s="295"/>
      <c r="CK38" s="295"/>
      <c r="CL38" s="294"/>
      <c r="CM38" s="295"/>
      <c r="CN38" s="295"/>
      <c r="CO38" s="294"/>
      <c r="CP38" s="295"/>
      <c r="CQ38" s="295"/>
    </row>
    <row r="39" spans="1:95" s="13" customFormat="1" ht="15" customHeight="1" x14ac:dyDescent="0.3">
      <c r="A39" s="62" t="s">
        <v>36</v>
      </c>
      <c r="B39" s="62"/>
      <c r="C39" s="62"/>
      <c r="D39" s="329" t="s">
        <v>93</v>
      </c>
      <c r="E39" s="330"/>
      <c r="F39" s="288" t="s">
        <v>50</v>
      </c>
      <c r="G39" s="289"/>
      <c r="H39" s="289"/>
      <c r="I39" s="288" t="s">
        <v>365</v>
      </c>
      <c r="J39" s="289"/>
      <c r="K39" s="289"/>
      <c r="L39" s="288" t="s">
        <v>365</v>
      </c>
      <c r="M39" s="289"/>
      <c r="N39" s="289"/>
      <c r="O39" s="288" t="s">
        <v>406</v>
      </c>
      <c r="P39" s="289"/>
      <c r="Q39" s="289"/>
      <c r="R39" s="288" t="s">
        <v>410</v>
      </c>
      <c r="S39" s="289"/>
      <c r="T39" s="289"/>
      <c r="U39" s="288" t="s">
        <v>413</v>
      </c>
      <c r="V39" s="289"/>
      <c r="W39" s="289"/>
      <c r="X39" s="288" t="s">
        <v>410</v>
      </c>
      <c r="Y39" s="289"/>
      <c r="Z39" s="289"/>
      <c r="AA39" s="288" t="s">
        <v>410</v>
      </c>
      <c r="AB39" s="289"/>
      <c r="AC39" s="289"/>
      <c r="AD39" s="288" t="s">
        <v>414</v>
      </c>
      <c r="AE39" s="289"/>
      <c r="AF39" s="289"/>
      <c r="AG39" s="288" t="s">
        <v>94</v>
      </c>
      <c r="AH39" s="289"/>
      <c r="AI39" s="289"/>
      <c r="AJ39" s="288" t="s">
        <v>94</v>
      </c>
      <c r="AK39" s="289"/>
      <c r="AL39" s="289"/>
      <c r="AM39" s="288"/>
      <c r="AN39" s="289"/>
      <c r="AO39" s="289"/>
      <c r="AP39" s="288"/>
      <c r="AQ39" s="289"/>
      <c r="AR39" s="289"/>
      <c r="AS39" s="288"/>
      <c r="AT39" s="289"/>
      <c r="AU39" s="289"/>
      <c r="AV39" s="288"/>
      <c r="AW39" s="289"/>
      <c r="AX39" s="289"/>
      <c r="AY39" s="288"/>
      <c r="AZ39" s="289"/>
      <c r="BA39" s="289"/>
      <c r="BB39" s="288"/>
      <c r="BC39" s="289"/>
      <c r="BD39" s="289"/>
      <c r="BE39" s="288"/>
      <c r="BF39" s="289"/>
      <c r="BG39" s="289"/>
      <c r="BH39" s="288"/>
      <c r="BI39" s="289"/>
      <c r="BJ39" s="289"/>
      <c r="BK39" s="288"/>
      <c r="BL39" s="289"/>
      <c r="BM39" s="289"/>
      <c r="BN39" s="288"/>
      <c r="BO39" s="289"/>
      <c r="BP39" s="289"/>
      <c r="BQ39" s="288"/>
      <c r="BR39" s="289"/>
      <c r="BS39" s="289"/>
      <c r="BT39" s="288"/>
      <c r="BU39" s="289"/>
      <c r="BV39" s="289"/>
      <c r="BW39" s="288"/>
      <c r="BX39" s="289"/>
      <c r="BY39" s="289"/>
      <c r="BZ39" s="288"/>
      <c r="CA39" s="289"/>
      <c r="CB39" s="289"/>
      <c r="CC39" s="288"/>
      <c r="CD39" s="289"/>
      <c r="CE39" s="289"/>
      <c r="CF39" s="288"/>
      <c r="CG39" s="289"/>
      <c r="CH39" s="289"/>
      <c r="CI39" s="288"/>
      <c r="CJ39" s="289"/>
      <c r="CK39" s="289"/>
      <c r="CL39" s="288"/>
      <c r="CM39" s="289"/>
      <c r="CN39" s="289"/>
      <c r="CO39" s="288"/>
      <c r="CP39" s="289"/>
      <c r="CQ39" s="289"/>
    </row>
    <row r="40" spans="1:95" s="13" customFormat="1" ht="15" customHeight="1" x14ac:dyDescent="0.3">
      <c r="A40" s="62"/>
      <c r="B40" s="62" t="s">
        <v>36</v>
      </c>
      <c r="C40" s="62"/>
      <c r="D40" s="329" t="s">
        <v>95</v>
      </c>
      <c r="E40" s="330"/>
      <c r="F40" s="288" t="s">
        <v>50</v>
      </c>
      <c r="G40" s="289"/>
      <c r="H40" s="289"/>
      <c r="I40" s="288" t="s">
        <v>50</v>
      </c>
      <c r="J40" s="289"/>
      <c r="K40" s="289"/>
      <c r="L40" s="288" t="s">
        <v>50</v>
      </c>
      <c r="M40" s="289"/>
      <c r="N40" s="289"/>
      <c r="O40" s="288" t="s">
        <v>407</v>
      </c>
      <c r="P40" s="289"/>
      <c r="Q40" s="289"/>
      <c r="R40" s="288" t="s">
        <v>407</v>
      </c>
      <c r="S40" s="289"/>
      <c r="T40" s="289"/>
      <c r="U40" s="288" t="s">
        <v>411</v>
      </c>
      <c r="V40" s="289"/>
      <c r="W40" s="289"/>
      <c r="X40" s="288" t="s">
        <v>412</v>
      </c>
      <c r="Y40" s="289"/>
      <c r="Z40" s="289"/>
      <c r="AA40" s="288" t="s">
        <v>412</v>
      </c>
      <c r="AB40" s="289"/>
      <c r="AC40" s="289"/>
      <c r="AD40" s="288" t="s">
        <v>96</v>
      </c>
      <c r="AE40" s="289"/>
      <c r="AF40" s="289"/>
      <c r="AG40" s="288" t="s">
        <v>96</v>
      </c>
      <c r="AH40" s="289"/>
      <c r="AI40" s="289"/>
      <c r="AJ40" s="288" t="s">
        <v>96</v>
      </c>
      <c r="AK40" s="289"/>
      <c r="AL40" s="289"/>
      <c r="AM40" s="288"/>
      <c r="AN40" s="289"/>
      <c r="AO40" s="289"/>
      <c r="AP40" s="288"/>
      <c r="AQ40" s="289"/>
      <c r="AR40" s="289"/>
      <c r="AS40" s="288"/>
      <c r="AT40" s="289"/>
      <c r="AU40" s="289"/>
      <c r="AV40" s="288"/>
      <c r="AW40" s="289"/>
      <c r="AX40" s="289"/>
      <c r="AY40" s="288"/>
      <c r="AZ40" s="289"/>
      <c r="BA40" s="289"/>
      <c r="BB40" s="288"/>
      <c r="BC40" s="289"/>
      <c r="BD40" s="289"/>
      <c r="BE40" s="288"/>
      <c r="BF40" s="289"/>
      <c r="BG40" s="289"/>
      <c r="BH40" s="288"/>
      <c r="BI40" s="289"/>
      <c r="BJ40" s="289"/>
      <c r="BK40" s="288"/>
      <c r="BL40" s="289"/>
      <c r="BM40" s="289"/>
      <c r="BN40" s="288"/>
      <c r="BO40" s="289"/>
      <c r="BP40" s="289"/>
      <c r="BQ40" s="288"/>
      <c r="BR40" s="289"/>
      <c r="BS40" s="289"/>
      <c r="BT40" s="288"/>
      <c r="BU40" s="289"/>
      <c r="BV40" s="289"/>
      <c r="BW40" s="288"/>
      <c r="BX40" s="289"/>
      <c r="BY40" s="289"/>
      <c r="BZ40" s="288"/>
      <c r="CA40" s="289"/>
      <c r="CB40" s="289"/>
      <c r="CC40" s="288"/>
      <c r="CD40" s="289"/>
      <c r="CE40" s="289"/>
      <c r="CF40" s="288"/>
      <c r="CG40" s="289"/>
      <c r="CH40" s="289"/>
      <c r="CI40" s="288"/>
      <c r="CJ40" s="289"/>
      <c r="CK40" s="289"/>
      <c r="CL40" s="288"/>
      <c r="CM40" s="289"/>
      <c r="CN40" s="289"/>
      <c r="CO40" s="288"/>
      <c r="CP40" s="289"/>
      <c r="CQ40" s="289"/>
    </row>
    <row r="41" spans="1:95" s="13" customFormat="1" ht="15" customHeight="1" x14ac:dyDescent="0.3">
      <c r="A41" s="62"/>
      <c r="B41" s="62"/>
      <c r="C41" s="62" t="s">
        <v>36</v>
      </c>
      <c r="D41" s="329" t="s">
        <v>97</v>
      </c>
      <c r="E41" s="330"/>
      <c r="F41" s="288" t="s">
        <v>50</v>
      </c>
      <c r="G41" s="289"/>
      <c r="H41" s="289"/>
      <c r="I41" s="288" t="s">
        <v>50</v>
      </c>
      <c r="J41" s="289"/>
      <c r="K41" s="289"/>
      <c r="L41" s="288" t="s">
        <v>50</v>
      </c>
      <c r="M41" s="289"/>
      <c r="N41" s="289"/>
      <c r="O41" s="288" t="s">
        <v>83</v>
      </c>
      <c r="P41" s="289"/>
      <c r="Q41" s="289"/>
      <c r="R41" s="288" t="s">
        <v>83</v>
      </c>
      <c r="S41" s="289"/>
      <c r="T41" s="289"/>
      <c r="U41" s="288" t="s">
        <v>83</v>
      </c>
      <c r="V41" s="289"/>
      <c r="W41" s="289"/>
      <c r="X41" s="288" t="s">
        <v>83</v>
      </c>
      <c r="Y41" s="289"/>
      <c r="Z41" s="289"/>
      <c r="AA41" s="288" t="s">
        <v>83</v>
      </c>
      <c r="AB41" s="289"/>
      <c r="AC41" s="289"/>
      <c r="AD41" s="288" t="s">
        <v>83</v>
      </c>
      <c r="AE41" s="289"/>
      <c r="AF41" s="289"/>
      <c r="AG41" s="288" t="s">
        <v>88</v>
      </c>
      <c r="AH41" s="289"/>
      <c r="AI41" s="289"/>
      <c r="AJ41" s="288" t="s">
        <v>88</v>
      </c>
      <c r="AK41" s="289"/>
      <c r="AL41" s="289"/>
      <c r="AM41" s="288"/>
      <c r="AN41" s="289"/>
      <c r="AO41" s="289"/>
      <c r="AP41" s="288"/>
      <c r="AQ41" s="289"/>
      <c r="AR41" s="289"/>
      <c r="AS41" s="288"/>
      <c r="AT41" s="289"/>
      <c r="AU41" s="289"/>
      <c r="AV41" s="288"/>
      <c r="AW41" s="289"/>
      <c r="AX41" s="289"/>
      <c r="AY41" s="288"/>
      <c r="AZ41" s="289"/>
      <c r="BA41" s="289"/>
      <c r="BB41" s="288"/>
      <c r="BC41" s="289"/>
      <c r="BD41" s="289"/>
      <c r="BE41" s="288"/>
      <c r="BF41" s="289"/>
      <c r="BG41" s="289"/>
      <c r="BH41" s="288"/>
      <c r="BI41" s="289"/>
      <c r="BJ41" s="289"/>
      <c r="BK41" s="288"/>
      <c r="BL41" s="289"/>
      <c r="BM41" s="289"/>
      <c r="BN41" s="288"/>
      <c r="BO41" s="289"/>
      <c r="BP41" s="289"/>
      <c r="BQ41" s="288"/>
      <c r="BR41" s="289"/>
      <c r="BS41" s="289"/>
      <c r="BT41" s="288"/>
      <c r="BU41" s="289"/>
      <c r="BV41" s="289"/>
      <c r="BW41" s="288"/>
      <c r="BX41" s="289"/>
      <c r="BY41" s="289"/>
      <c r="BZ41" s="288"/>
      <c r="CA41" s="289"/>
      <c r="CB41" s="289"/>
      <c r="CC41" s="288"/>
      <c r="CD41" s="289"/>
      <c r="CE41" s="289"/>
      <c r="CF41" s="288"/>
      <c r="CG41" s="289"/>
      <c r="CH41" s="289"/>
      <c r="CI41" s="288"/>
      <c r="CJ41" s="289"/>
      <c r="CK41" s="289"/>
      <c r="CL41" s="288"/>
      <c r="CM41" s="289"/>
      <c r="CN41" s="289"/>
      <c r="CO41" s="288"/>
      <c r="CP41" s="289"/>
      <c r="CQ41" s="289"/>
    </row>
    <row r="42" spans="1:95" s="13" customFormat="1" ht="15" customHeight="1" x14ac:dyDescent="0.3">
      <c r="A42" s="62"/>
      <c r="B42" s="62"/>
      <c r="C42" s="62" t="s">
        <v>36</v>
      </c>
      <c r="D42" s="329" t="s">
        <v>98</v>
      </c>
      <c r="E42" s="330"/>
      <c r="F42" s="288" t="s">
        <v>50</v>
      </c>
      <c r="G42" s="289"/>
      <c r="H42" s="289"/>
      <c r="I42" s="288" t="s">
        <v>50</v>
      </c>
      <c r="J42" s="289"/>
      <c r="K42" s="289"/>
      <c r="L42" s="288" t="s">
        <v>50</v>
      </c>
      <c r="M42" s="289"/>
      <c r="N42" s="289"/>
      <c r="O42" s="288" t="s">
        <v>50</v>
      </c>
      <c r="P42" s="289"/>
      <c r="Q42" s="289"/>
      <c r="R42" s="288" t="s">
        <v>50</v>
      </c>
      <c r="S42" s="289"/>
      <c r="T42" s="289"/>
      <c r="U42" s="288" t="s">
        <v>50</v>
      </c>
      <c r="V42" s="289"/>
      <c r="W42" s="289"/>
      <c r="X42" s="288" t="s">
        <v>50</v>
      </c>
      <c r="Y42" s="289"/>
      <c r="Z42" s="289"/>
      <c r="AA42" s="288" t="s">
        <v>50</v>
      </c>
      <c r="AB42" s="289"/>
      <c r="AC42" s="289"/>
      <c r="AD42" s="288" t="s">
        <v>50</v>
      </c>
      <c r="AE42" s="289"/>
      <c r="AF42" s="289"/>
      <c r="AG42" s="288" t="s">
        <v>50</v>
      </c>
      <c r="AH42" s="289"/>
      <c r="AI42" s="289"/>
      <c r="AJ42" s="288" t="s">
        <v>50</v>
      </c>
      <c r="AK42" s="289"/>
      <c r="AL42" s="289"/>
      <c r="AM42" s="288"/>
      <c r="AN42" s="289"/>
      <c r="AO42" s="289"/>
      <c r="AP42" s="288"/>
      <c r="AQ42" s="289"/>
      <c r="AR42" s="289"/>
      <c r="AS42" s="288"/>
      <c r="AT42" s="289"/>
      <c r="AU42" s="289"/>
      <c r="AV42" s="288"/>
      <c r="AW42" s="289"/>
      <c r="AX42" s="289"/>
      <c r="AY42" s="288"/>
      <c r="AZ42" s="289"/>
      <c r="BA42" s="289"/>
      <c r="BB42" s="288"/>
      <c r="BC42" s="289"/>
      <c r="BD42" s="289"/>
      <c r="BE42" s="288"/>
      <c r="BF42" s="289"/>
      <c r="BG42" s="289"/>
      <c r="BH42" s="288"/>
      <c r="BI42" s="289"/>
      <c r="BJ42" s="289"/>
      <c r="BK42" s="288"/>
      <c r="BL42" s="289"/>
      <c r="BM42" s="289"/>
      <c r="BN42" s="288"/>
      <c r="BO42" s="289"/>
      <c r="BP42" s="289"/>
      <c r="BQ42" s="288"/>
      <c r="BR42" s="289"/>
      <c r="BS42" s="289"/>
      <c r="BT42" s="288"/>
      <c r="BU42" s="289"/>
      <c r="BV42" s="289"/>
      <c r="BW42" s="288"/>
      <c r="BX42" s="289"/>
      <c r="BY42" s="289"/>
      <c r="BZ42" s="288"/>
      <c r="CA42" s="289"/>
      <c r="CB42" s="289"/>
      <c r="CC42" s="288"/>
      <c r="CD42" s="289"/>
      <c r="CE42" s="289"/>
      <c r="CF42" s="288"/>
      <c r="CG42" s="289"/>
      <c r="CH42" s="289"/>
      <c r="CI42" s="288"/>
      <c r="CJ42" s="289"/>
      <c r="CK42" s="289"/>
      <c r="CL42" s="288"/>
      <c r="CM42" s="289"/>
      <c r="CN42" s="289"/>
      <c r="CO42" s="288"/>
      <c r="CP42" s="289"/>
      <c r="CQ42" s="289"/>
    </row>
    <row r="43" spans="1:95" s="13" customFormat="1" ht="15" customHeight="1" x14ac:dyDescent="0.3">
      <c r="A43" s="58"/>
      <c r="B43" s="58"/>
      <c r="C43" s="58" t="s">
        <v>36</v>
      </c>
      <c r="D43" s="333" t="s">
        <v>99</v>
      </c>
      <c r="E43" s="334"/>
      <c r="F43" s="290" t="s">
        <v>50</v>
      </c>
      <c r="G43" s="291"/>
      <c r="H43" s="291"/>
      <c r="I43" s="290" t="s">
        <v>50</v>
      </c>
      <c r="J43" s="291"/>
      <c r="K43" s="291"/>
      <c r="L43" s="290" t="s">
        <v>100</v>
      </c>
      <c r="M43" s="291"/>
      <c r="N43" s="291"/>
      <c r="O43" s="290" t="s">
        <v>408</v>
      </c>
      <c r="P43" s="291"/>
      <c r="Q43" s="291"/>
      <c r="R43" s="290" t="s">
        <v>409</v>
      </c>
      <c r="S43" s="291"/>
      <c r="T43" s="291"/>
      <c r="U43" s="290" t="s">
        <v>409</v>
      </c>
      <c r="V43" s="291"/>
      <c r="W43" s="291"/>
      <c r="X43" s="290" t="s">
        <v>50</v>
      </c>
      <c r="Y43" s="291"/>
      <c r="Z43" s="291"/>
      <c r="AA43" s="290" t="s">
        <v>50</v>
      </c>
      <c r="AB43" s="291"/>
      <c r="AC43" s="291"/>
      <c r="AD43" s="290" t="s">
        <v>50</v>
      </c>
      <c r="AE43" s="291"/>
      <c r="AF43" s="291"/>
      <c r="AG43" s="290" t="s">
        <v>50</v>
      </c>
      <c r="AH43" s="291"/>
      <c r="AI43" s="291"/>
      <c r="AJ43" s="290" t="s">
        <v>50</v>
      </c>
      <c r="AK43" s="291"/>
      <c r="AL43" s="291"/>
      <c r="AM43" s="290"/>
      <c r="AN43" s="291"/>
      <c r="AO43" s="291"/>
      <c r="AP43" s="290"/>
      <c r="AQ43" s="291"/>
      <c r="AR43" s="291"/>
      <c r="AS43" s="290"/>
      <c r="AT43" s="291"/>
      <c r="AU43" s="291"/>
      <c r="AV43" s="290"/>
      <c r="AW43" s="291"/>
      <c r="AX43" s="291"/>
      <c r="AY43" s="290"/>
      <c r="AZ43" s="291"/>
      <c r="BA43" s="291"/>
      <c r="BB43" s="290"/>
      <c r="BC43" s="291"/>
      <c r="BD43" s="291"/>
      <c r="BE43" s="290"/>
      <c r="BF43" s="291"/>
      <c r="BG43" s="291"/>
      <c r="BH43" s="290"/>
      <c r="BI43" s="291"/>
      <c r="BJ43" s="291"/>
      <c r="BK43" s="290"/>
      <c r="BL43" s="291"/>
      <c r="BM43" s="291"/>
      <c r="BN43" s="290"/>
      <c r="BO43" s="291"/>
      <c r="BP43" s="291"/>
      <c r="BQ43" s="290"/>
      <c r="BR43" s="291"/>
      <c r="BS43" s="291"/>
      <c r="BT43" s="290"/>
      <c r="BU43" s="291"/>
      <c r="BV43" s="291"/>
      <c r="BW43" s="290"/>
      <c r="BX43" s="291"/>
      <c r="BY43" s="291"/>
      <c r="BZ43" s="290"/>
      <c r="CA43" s="291"/>
      <c r="CB43" s="291"/>
      <c r="CC43" s="290"/>
      <c r="CD43" s="291"/>
      <c r="CE43" s="291"/>
      <c r="CF43" s="290"/>
      <c r="CG43" s="291"/>
      <c r="CH43" s="291"/>
      <c r="CI43" s="290"/>
      <c r="CJ43" s="291"/>
      <c r="CK43" s="291"/>
      <c r="CL43" s="290"/>
      <c r="CM43" s="291"/>
      <c r="CN43" s="291"/>
      <c r="CO43" s="290"/>
      <c r="CP43" s="291"/>
      <c r="CQ43" s="291"/>
    </row>
    <row r="44" spans="1:95" s="1" customFormat="1" ht="18.75" customHeight="1" x14ac:dyDescent="0.3">
      <c r="A44" s="337" t="s">
        <v>101</v>
      </c>
      <c r="B44" s="337"/>
      <c r="C44" s="337"/>
      <c r="D44" s="337"/>
      <c r="E44" s="337"/>
      <c r="F44" s="48">
        <f>IF(SUMMARY!$B$7=TRUE,IF(COUNTBLANK(F45:F46)&gt;0,0,1),"")</f>
        <v>1</v>
      </c>
      <c r="G44" s="49"/>
      <c r="H44" s="49"/>
      <c r="I44" s="50">
        <f>IF(SUMMARY!$B$8=TRUE,IF(COUNTBLANK(I45:I46)&gt;0,0,1),"")</f>
        <v>1</v>
      </c>
      <c r="J44" s="49"/>
      <c r="K44" s="49"/>
      <c r="L44" s="50">
        <f>IF(SUMMARY!$B$9=TRUE,IF(COUNTBLANK(L45:L46)&gt;0,0,1),"")</f>
        <v>1</v>
      </c>
      <c r="M44" s="49"/>
      <c r="N44" s="49"/>
      <c r="O44" s="50">
        <f>IF(SUMMARY!$B$10=TRUE,IF(COUNTBLANK(O45:O46)&gt;0,0,1),"")</f>
        <v>1</v>
      </c>
      <c r="P44" s="49"/>
      <c r="Q44" s="49"/>
      <c r="R44" s="50">
        <f>IF(SUMMARY!$B$11=TRUE,IF(COUNTBLANK(R45:R46)&gt;0,0,1),"")</f>
        <v>1</v>
      </c>
      <c r="S44" s="49"/>
      <c r="T44" s="49"/>
      <c r="U44" s="50">
        <f>IF(SUMMARY!$B$12=TRUE,IF(COUNTBLANK(U45:U46)&gt;0,0,1),"")</f>
        <v>1</v>
      </c>
      <c r="V44" s="49"/>
      <c r="W44" s="49"/>
      <c r="X44" s="50">
        <f>IF(SUMMARY!$B$13=TRUE,IF(COUNTBLANK(X45:X46)&gt;0,0,1),"")</f>
        <v>1</v>
      </c>
      <c r="Y44" s="49"/>
      <c r="Z44" s="49"/>
      <c r="AA44" s="50">
        <f>IF(SUMMARY!$B$14=TRUE,IF(COUNTBLANK(AA45:AA46)&gt;0,0,1),"")</f>
        <v>1</v>
      </c>
      <c r="AB44" s="49"/>
      <c r="AC44" s="49"/>
      <c r="AD44" s="50">
        <f>IF(SUMMARY!$B$15=TRUE,IF(COUNTBLANK(AD45:AD46)&gt;0,0,1),"")</f>
        <v>1</v>
      </c>
      <c r="AE44" s="49"/>
      <c r="AF44" s="49"/>
      <c r="AG44" s="50" t="str">
        <f>IF(SUMMARY!$B$16=TRUE,IF(COUNTBLANK(AG45:AG46)&gt;0,0,1),"")</f>
        <v/>
      </c>
      <c r="AH44" s="49"/>
      <c r="AI44" s="49"/>
      <c r="AJ44" s="50" t="str">
        <f>IF(SUMMARY!$B$17=TRUE,IF(COUNTBLANK(AJ45:AJ46)&gt;0,0,1),"")</f>
        <v/>
      </c>
      <c r="AK44" s="49"/>
      <c r="AL44" s="49"/>
      <c r="AM44" s="50" t="str">
        <f>IF(SUMMARY!$B$18=TRUE,IF(COUNTBLANK(AM45:AM46)&gt;0,0,1),"")</f>
        <v/>
      </c>
      <c r="AN44" s="49"/>
      <c r="AO44" s="49"/>
      <c r="AP44" s="50" t="str">
        <f>IF(SUMMARY!$B$19=TRUE,IF(COUNTBLANK(AP45:AP46)&gt;0,0,1),"")</f>
        <v/>
      </c>
      <c r="AQ44" s="49"/>
      <c r="AR44" s="49"/>
      <c r="AS44" s="50" t="str">
        <f>IF(SUMMARY!$B$20=TRUE,IF(COUNTBLANK(AS45:AS46)&gt;0,0,1),"")</f>
        <v/>
      </c>
      <c r="AT44" s="49"/>
      <c r="AU44" s="49"/>
      <c r="AV44" s="50" t="str">
        <f>IF(SUMMARY!$B$21=TRUE,IF(COUNTBLANK(AV45:AV46)&gt;0,0,1),"")</f>
        <v/>
      </c>
      <c r="AW44" s="49"/>
      <c r="AX44" s="49"/>
      <c r="AY44" s="50" t="str">
        <f>IF(SUMMARY!$B$22=TRUE,IF(COUNTBLANK(AY45:AY46)&gt;0,0,1),"")</f>
        <v/>
      </c>
      <c r="AZ44" s="49"/>
      <c r="BA44" s="49"/>
      <c r="BB44" s="50" t="str">
        <f>IF(SUMMARY!$B$23=TRUE,IF(COUNTBLANK(BB45:BB46)&gt;0,0,1),"")</f>
        <v/>
      </c>
      <c r="BC44" s="49"/>
      <c r="BD44" s="49"/>
      <c r="BE44" s="50" t="str">
        <f>IF(SUMMARY!$B$24=TRUE,IF(COUNTBLANK(BE45:BE46)&gt;0,0,1),"")</f>
        <v/>
      </c>
      <c r="BF44" s="49"/>
      <c r="BG44" s="49"/>
      <c r="BH44" s="50" t="str">
        <f>IF(SUMMARY!$B$25=TRUE,IF(COUNTBLANK(BH45:BH46)&gt;0,0,1),"")</f>
        <v/>
      </c>
      <c r="BI44" s="49"/>
      <c r="BJ44" s="49"/>
      <c r="BK44" s="50" t="str">
        <f>IF(SUMMARY!$B$26=TRUE,IF(COUNTBLANK(BK45:BK46)&gt;0,0,1),"")</f>
        <v/>
      </c>
      <c r="BL44" s="49"/>
      <c r="BM44" s="49"/>
      <c r="BN44" s="50" t="str">
        <f>IF(SUMMARY!$B$27=TRUE,IF(COUNTBLANK(BN45:BN46)&gt;0,0,1),"")</f>
        <v/>
      </c>
      <c r="BO44" s="49"/>
      <c r="BP44" s="49"/>
      <c r="BQ44" s="50" t="str">
        <f>IF(SUMMARY!$B$28=TRUE,IF(COUNTBLANK(BQ45:BQ46)&gt;0,0,1),"")</f>
        <v/>
      </c>
      <c r="BR44" s="49"/>
      <c r="BS44" s="49"/>
      <c r="BT44" s="50" t="str">
        <f>IF(SUMMARY!$B$29=TRUE,IF(COUNTBLANK(BT45:BT46)&gt;0,0,1),"")</f>
        <v/>
      </c>
      <c r="BU44" s="49"/>
      <c r="BV44" s="49"/>
      <c r="BW44" s="50" t="str">
        <f>IF(SUMMARY!$B$30=TRUE,IF(COUNTBLANK(BW45:BW46)&gt;0,0,1),"")</f>
        <v/>
      </c>
      <c r="BX44" s="49"/>
      <c r="BY44" s="49"/>
      <c r="BZ44" s="50" t="str">
        <f>IF(SUMMARY!$B$31=TRUE,IF(COUNTBLANK(BZ45:BZ46)&gt;0,0,1),"")</f>
        <v/>
      </c>
      <c r="CA44" s="49"/>
      <c r="CB44" s="49"/>
      <c r="CC44" s="50" t="str">
        <f>IF(SUMMARY!$B$32=TRUE,IF(COUNTBLANK(CC45:CC46)&gt;0,0,1),"")</f>
        <v/>
      </c>
      <c r="CD44" s="49"/>
      <c r="CE44" s="49"/>
      <c r="CF44" s="50" t="str">
        <f>IF(SUMMARY!$B$33=TRUE,IF(COUNTBLANK(CF45:CF46)&gt;0,0,1),"")</f>
        <v/>
      </c>
      <c r="CG44" s="49"/>
      <c r="CH44" s="49"/>
      <c r="CI44" s="50" t="str">
        <f>IF(SUMMARY!$B$34=TRUE,IF(COUNTBLANK(CI45:CI46)&gt;0,0,1),"")</f>
        <v/>
      </c>
      <c r="CJ44" s="49"/>
      <c r="CK44" s="49"/>
      <c r="CL44" s="50" t="str">
        <f>IF(SUMMARY!$B$35=TRUE,IF(COUNTBLANK(CL45:CL46)&gt;0,0,1),"")</f>
        <v/>
      </c>
      <c r="CM44" s="49"/>
      <c r="CN44" s="49"/>
      <c r="CO44" s="51" t="str">
        <f>IF(SUMMARY!$B$36=TRUE,IF(COUNTBLANK(CO45:CO46)&gt;0,0,1),"")</f>
        <v/>
      </c>
      <c r="CP44" s="49"/>
      <c r="CQ44" s="49"/>
    </row>
    <row r="45" spans="1:95" s="13" customFormat="1" ht="15" customHeight="1" x14ac:dyDescent="0.3">
      <c r="A45" s="69" t="s">
        <v>36</v>
      </c>
      <c r="B45" s="69"/>
      <c r="C45" s="69"/>
      <c r="D45" s="331" t="s">
        <v>102</v>
      </c>
      <c r="E45" s="332"/>
      <c r="F45" s="313">
        <v>2038</v>
      </c>
      <c r="G45" s="314"/>
      <c r="H45" s="314"/>
      <c r="I45" s="313">
        <v>71963</v>
      </c>
      <c r="J45" s="314"/>
      <c r="K45" s="314"/>
      <c r="L45" s="313">
        <v>71963</v>
      </c>
      <c r="M45" s="314"/>
      <c r="N45" s="314"/>
      <c r="O45" s="313">
        <v>3316465</v>
      </c>
      <c r="P45" s="314"/>
      <c r="Q45" s="314"/>
      <c r="R45" s="313">
        <v>28005</v>
      </c>
      <c r="S45" s="314"/>
      <c r="T45" s="314"/>
      <c r="U45" s="313">
        <v>16484</v>
      </c>
      <c r="V45" s="314"/>
      <c r="W45" s="314"/>
      <c r="X45" s="313">
        <v>15604</v>
      </c>
      <c r="Y45" s="314"/>
      <c r="Z45" s="314"/>
      <c r="AA45" s="313">
        <v>16736</v>
      </c>
      <c r="AB45" s="314"/>
      <c r="AC45" s="314"/>
      <c r="AD45" s="313">
        <v>2868808</v>
      </c>
      <c r="AE45" s="314"/>
      <c r="AF45" s="314"/>
      <c r="AG45" s="313">
        <v>779</v>
      </c>
      <c r="AH45" s="314"/>
      <c r="AI45" s="314"/>
      <c r="AJ45" s="313">
        <v>779</v>
      </c>
      <c r="AK45" s="314"/>
      <c r="AL45" s="314"/>
      <c r="AM45" s="313"/>
      <c r="AN45" s="314"/>
      <c r="AO45" s="314"/>
      <c r="AP45" s="313"/>
      <c r="AQ45" s="314"/>
      <c r="AR45" s="314"/>
      <c r="AS45" s="313"/>
      <c r="AT45" s="314"/>
      <c r="AU45" s="314"/>
      <c r="AV45" s="313"/>
      <c r="AW45" s="314"/>
      <c r="AX45" s="314"/>
      <c r="AY45" s="313"/>
      <c r="AZ45" s="314"/>
      <c r="BA45" s="314"/>
      <c r="BB45" s="313"/>
      <c r="BC45" s="314"/>
      <c r="BD45" s="314"/>
      <c r="BE45" s="313"/>
      <c r="BF45" s="314"/>
      <c r="BG45" s="314"/>
      <c r="BH45" s="313"/>
      <c r="BI45" s="314"/>
      <c r="BJ45" s="314"/>
      <c r="BK45" s="313"/>
      <c r="BL45" s="314"/>
      <c r="BM45" s="314"/>
      <c r="BN45" s="313"/>
      <c r="BO45" s="314"/>
      <c r="BP45" s="314"/>
      <c r="BQ45" s="313"/>
      <c r="BR45" s="314"/>
      <c r="BS45" s="314"/>
      <c r="BT45" s="313"/>
      <c r="BU45" s="314"/>
      <c r="BV45" s="314"/>
      <c r="BW45" s="313"/>
      <c r="BX45" s="314"/>
      <c r="BY45" s="314"/>
      <c r="BZ45" s="313"/>
      <c r="CA45" s="314"/>
      <c r="CB45" s="314"/>
      <c r="CC45" s="313"/>
      <c r="CD45" s="314"/>
      <c r="CE45" s="314"/>
      <c r="CF45" s="313"/>
      <c r="CG45" s="314"/>
      <c r="CH45" s="314"/>
      <c r="CI45" s="313"/>
      <c r="CJ45" s="314"/>
      <c r="CK45" s="314"/>
      <c r="CL45" s="313"/>
      <c r="CM45" s="314"/>
      <c r="CN45" s="314"/>
      <c r="CO45" s="313"/>
      <c r="CP45" s="314"/>
      <c r="CQ45" s="314"/>
    </row>
    <row r="46" spans="1:95" s="13" customFormat="1" ht="15" customHeight="1" x14ac:dyDescent="0.3">
      <c r="A46" s="62" t="s">
        <v>36</v>
      </c>
      <c r="B46" s="62"/>
      <c r="C46" s="62"/>
      <c r="D46" s="329" t="s">
        <v>103</v>
      </c>
      <c r="E46" s="330"/>
      <c r="F46" s="311">
        <v>116</v>
      </c>
      <c r="G46" s="312"/>
      <c r="H46" s="312"/>
      <c r="I46" s="311">
        <v>665</v>
      </c>
      <c r="J46" s="312"/>
      <c r="K46" s="312"/>
      <c r="L46" s="311">
        <v>631</v>
      </c>
      <c r="M46" s="312"/>
      <c r="N46" s="312"/>
      <c r="O46" s="311">
        <v>149724</v>
      </c>
      <c r="P46" s="312"/>
      <c r="Q46" s="312"/>
      <c r="R46" s="311">
        <v>1016</v>
      </c>
      <c r="S46" s="312"/>
      <c r="T46" s="312"/>
      <c r="U46" s="311">
        <v>1784</v>
      </c>
      <c r="V46" s="312"/>
      <c r="W46" s="312"/>
      <c r="X46" s="311">
        <v>281</v>
      </c>
      <c r="Y46" s="312"/>
      <c r="Z46" s="312"/>
      <c r="AA46" s="311">
        <v>70</v>
      </c>
      <c r="AB46" s="312"/>
      <c r="AC46" s="312"/>
      <c r="AD46" s="311">
        <v>118327</v>
      </c>
      <c r="AE46" s="312"/>
      <c r="AF46" s="312"/>
      <c r="AG46" s="311">
        <v>208</v>
      </c>
      <c r="AH46" s="312"/>
      <c r="AI46" s="312"/>
      <c r="AJ46" s="311">
        <v>208</v>
      </c>
      <c r="AK46" s="312"/>
      <c r="AL46" s="312"/>
      <c r="AM46" s="311"/>
      <c r="AN46" s="312"/>
      <c r="AO46" s="312"/>
      <c r="AP46" s="311"/>
      <c r="AQ46" s="312"/>
      <c r="AR46" s="312"/>
      <c r="AS46" s="311"/>
      <c r="AT46" s="312"/>
      <c r="AU46" s="312"/>
      <c r="AV46" s="311"/>
      <c r="AW46" s="312"/>
      <c r="AX46" s="312"/>
      <c r="AY46" s="311"/>
      <c r="AZ46" s="312"/>
      <c r="BA46" s="312"/>
      <c r="BB46" s="311"/>
      <c r="BC46" s="312"/>
      <c r="BD46" s="312"/>
      <c r="BE46" s="311"/>
      <c r="BF46" s="312"/>
      <c r="BG46" s="312"/>
      <c r="BH46" s="311"/>
      <c r="BI46" s="312"/>
      <c r="BJ46" s="312"/>
      <c r="BK46" s="311"/>
      <c r="BL46" s="312"/>
      <c r="BM46" s="312"/>
      <c r="BN46" s="311"/>
      <c r="BO46" s="312"/>
      <c r="BP46" s="312"/>
      <c r="BQ46" s="311"/>
      <c r="BR46" s="312"/>
      <c r="BS46" s="312"/>
      <c r="BT46" s="311"/>
      <c r="BU46" s="312"/>
      <c r="BV46" s="312"/>
      <c r="BW46" s="311"/>
      <c r="BX46" s="312"/>
      <c r="BY46" s="312"/>
      <c r="BZ46" s="311"/>
      <c r="CA46" s="312"/>
      <c r="CB46" s="312"/>
      <c r="CC46" s="311"/>
      <c r="CD46" s="312"/>
      <c r="CE46" s="312"/>
      <c r="CF46" s="311"/>
      <c r="CG46" s="312"/>
      <c r="CH46" s="312"/>
      <c r="CI46" s="311"/>
      <c r="CJ46" s="312"/>
      <c r="CK46" s="312"/>
      <c r="CL46" s="311"/>
      <c r="CM46" s="312"/>
      <c r="CN46" s="312"/>
      <c r="CO46" s="311"/>
      <c r="CP46" s="312"/>
      <c r="CQ46" s="312"/>
    </row>
    <row r="47" spans="1:95" s="13" customFormat="1" ht="15" hidden="1" customHeight="1" x14ac:dyDescent="0.3">
      <c r="A47" s="63"/>
      <c r="B47" s="63"/>
      <c r="C47" s="63"/>
      <c r="D47" s="166"/>
      <c r="E47" s="70"/>
      <c r="F47" s="288">
        <f>MAX(F45-F46,0)</f>
        <v>1922</v>
      </c>
      <c r="G47" s="289"/>
      <c r="H47" s="289"/>
      <c r="I47" s="288">
        <f>MAX(I45-I46,0)</f>
        <v>71298</v>
      </c>
      <c r="J47" s="289"/>
      <c r="K47" s="289"/>
      <c r="L47" s="288">
        <f>MAX(L45-L46,0)</f>
        <v>71332</v>
      </c>
      <c r="M47" s="289"/>
      <c r="N47" s="289"/>
      <c r="O47" s="288">
        <f>MAX(O45-O46,0)</f>
        <v>3166741</v>
      </c>
      <c r="P47" s="289"/>
      <c r="Q47" s="289"/>
      <c r="R47" s="288">
        <f>MAX(R45-R46,0)</f>
        <v>26989</v>
      </c>
      <c r="S47" s="289"/>
      <c r="T47" s="289"/>
      <c r="U47" s="288">
        <f>MAX(U45-U46,0)</f>
        <v>14700</v>
      </c>
      <c r="V47" s="289"/>
      <c r="W47" s="289"/>
      <c r="X47" s="288">
        <f>MAX(X45-X46,0)</f>
        <v>15323</v>
      </c>
      <c r="Y47" s="289"/>
      <c r="Z47" s="289"/>
      <c r="AA47" s="288">
        <f>MAX(AA45-AA46,0)</f>
        <v>16666</v>
      </c>
      <c r="AB47" s="289"/>
      <c r="AC47" s="289"/>
      <c r="AD47" s="288">
        <f>MAX(AD45-AD46,0)</f>
        <v>2750481</v>
      </c>
      <c r="AE47" s="289"/>
      <c r="AF47" s="289"/>
      <c r="AG47" s="288">
        <f>MAX(AG45-AG46,0)</f>
        <v>571</v>
      </c>
      <c r="AH47" s="289"/>
      <c r="AI47" s="289"/>
      <c r="AJ47" s="288">
        <f>MAX(AJ45-AJ46,0)</f>
        <v>571</v>
      </c>
      <c r="AK47" s="289"/>
      <c r="AL47" s="289"/>
      <c r="AM47" s="288">
        <f>MAX(AM45-AM46,0)</f>
        <v>0</v>
      </c>
      <c r="AN47" s="289"/>
      <c r="AO47" s="289"/>
      <c r="AP47" s="288">
        <f>MAX(AP45-AP46,0)</f>
        <v>0</v>
      </c>
      <c r="AQ47" s="289"/>
      <c r="AR47" s="289"/>
      <c r="AS47" s="288">
        <f>MAX(AS45-AS46,0)</f>
        <v>0</v>
      </c>
      <c r="AT47" s="289"/>
      <c r="AU47" s="289"/>
      <c r="AV47" s="288">
        <f>MAX(AV45-AV46,0)</f>
        <v>0</v>
      </c>
      <c r="AW47" s="289"/>
      <c r="AX47" s="289"/>
      <c r="AY47" s="288">
        <f>MAX(AY45-AY46,0)</f>
        <v>0</v>
      </c>
      <c r="AZ47" s="289"/>
      <c r="BA47" s="289"/>
      <c r="BB47" s="288">
        <f>MAX(BB45-BB46,0)</f>
        <v>0</v>
      </c>
      <c r="BC47" s="289"/>
      <c r="BD47" s="289"/>
      <c r="BE47" s="288">
        <f>MAX(BE45-BE46,0)</f>
        <v>0</v>
      </c>
      <c r="BF47" s="289"/>
      <c r="BG47" s="289"/>
      <c r="BH47" s="288">
        <f>MAX(BH45-BH46,0)</f>
        <v>0</v>
      </c>
      <c r="BI47" s="289"/>
      <c r="BJ47" s="289"/>
      <c r="BK47" s="288">
        <f>MAX(BK45-BK46,0)</f>
        <v>0</v>
      </c>
      <c r="BL47" s="289"/>
      <c r="BM47" s="289"/>
      <c r="BN47" s="288">
        <f>MAX(BN45-BN46,0)</f>
        <v>0</v>
      </c>
      <c r="BO47" s="289"/>
      <c r="BP47" s="289"/>
      <c r="BQ47" s="288">
        <f>MAX(BQ45-BQ46,0)</f>
        <v>0</v>
      </c>
      <c r="BR47" s="289"/>
      <c r="BS47" s="289"/>
      <c r="BT47" s="288">
        <f>MAX(BT45-BT46,0)</f>
        <v>0</v>
      </c>
      <c r="BU47" s="289"/>
      <c r="BV47" s="289"/>
      <c r="BW47" s="288">
        <f>MAX(BW45-BW46,0)</f>
        <v>0</v>
      </c>
      <c r="BX47" s="289"/>
      <c r="BY47" s="289"/>
      <c r="BZ47" s="288">
        <f>MAX(BZ45-BZ46,0)</f>
        <v>0</v>
      </c>
      <c r="CA47" s="289"/>
      <c r="CB47" s="289"/>
      <c r="CC47" s="288">
        <f>MAX(CC45-CC46,0)</f>
        <v>0</v>
      </c>
      <c r="CD47" s="289"/>
      <c r="CE47" s="289"/>
      <c r="CF47" s="288">
        <f>MAX(CF45-CF46,0)</f>
        <v>0</v>
      </c>
      <c r="CG47" s="289"/>
      <c r="CH47" s="289"/>
      <c r="CI47" s="288">
        <f>MAX(CI45-CI46,0)</f>
        <v>0</v>
      </c>
      <c r="CJ47" s="289"/>
      <c r="CK47" s="289"/>
      <c r="CL47" s="288">
        <f>MAX(CL45-CL46,0)</f>
        <v>0</v>
      </c>
      <c r="CM47" s="289"/>
      <c r="CN47" s="289"/>
      <c r="CO47" s="288">
        <f>MAX(CO45-CO46,0)</f>
        <v>0</v>
      </c>
      <c r="CP47" s="289"/>
      <c r="CQ47" s="289"/>
    </row>
    <row r="48" spans="1:95" s="13" customFormat="1" ht="15" customHeight="1" x14ac:dyDescent="0.3">
      <c r="A48" s="58"/>
      <c r="B48" s="58"/>
      <c r="C48" s="58" t="s">
        <v>36</v>
      </c>
      <c r="D48" s="333" t="s">
        <v>104</v>
      </c>
      <c r="E48" s="334"/>
      <c r="F48" s="309" t="str">
        <f>IF(OR(F$38="",F$46=""),"",IF(F$53="Survival",IF(ISERROR(F$46/F$38),"Unknown",F$46/F$38),IF(ISERROR(MIN(F$46,F$47)/F$38),"Unknown",MIN(F$46,F$47)/F$38)))</f>
        <v>Unknown</v>
      </c>
      <c r="G48" s="310"/>
      <c r="H48" s="310"/>
      <c r="I48" s="309">
        <f>IF(OR(I$38="",I$46=""),"",IF(I$53="Survival",IF(ISERROR(I$46/I$38),"Unknown",I$46/I$38),IF(ISERROR(MIN(I$46,I$47)/I$38),"Unknown",MIN(I$46,I$47)/I$38)))</f>
        <v>8.986486486486486</v>
      </c>
      <c r="J48" s="310"/>
      <c r="K48" s="310"/>
      <c r="L48" s="309">
        <f>IF(OR(L$38="",L$46=""),"",IF(L$53="Survival",IF(ISERROR(L$46/L$38),"Unknown",L$46/L$38),IF(ISERROR(MIN(L$46,L$47)/L$38),"Unknown",MIN(L$46,L$47)/L$38)))</f>
        <v>8.5270270270270263</v>
      </c>
      <c r="M48" s="310"/>
      <c r="N48" s="310"/>
      <c r="O48" s="309" t="str">
        <f>IF(OR(O$38="",O$46=""),"",IF(O$53="Survival",IF(ISERROR(O$46/O$38),"Unknown",O$46/O$38),IF(ISERROR(MIN(O$46,O$47)/O$38),"Unknown",MIN(O$46,O$47)/O$38)))</f>
        <v>Unknown</v>
      </c>
      <c r="P48" s="310"/>
      <c r="Q48" s="310"/>
      <c r="R48" s="309">
        <f>IF(OR(R$38="",R$46=""),"",IF(R$53="Survival",IF(ISERROR(R$46/R$38),"Unknown",R$46/R$38),IF(ISERROR(MIN(R$46,R$47)/R$38),"Unknown",MIN(R$46,R$47)/R$38)))</f>
        <v>10.16</v>
      </c>
      <c r="S48" s="310"/>
      <c r="T48" s="310"/>
      <c r="U48" s="309">
        <f>IF(OR(U$38="",U$46=""),"",IF(U$53="Survival",IF(ISERROR(U$46/U$38),"Unknown",U$46/U$38),IF(ISERROR(MIN(U$46,U$47)/U$38),"Unknown",MIN(U$46,U$47)/U$38)))</f>
        <v>198.22222222222223</v>
      </c>
      <c r="V48" s="310"/>
      <c r="W48" s="310"/>
      <c r="X48" s="309">
        <f>IF(OR(X$38="",X$46=""),"",IF(X$53="Survival",IF(ISERROR(X$46/X$38),"Unknown",X$46/X$38),IF(ISERROR(MIN(X$46,X$47)/X$38),"Unknown",MIN(X$46,X$47)/X$38)))</f>
        <v>3.2674418604651163</v>
      </c>
      <c r="Y48" s="310"/>
      <c r="Z48" s="310"/>
      <c r="AA48" s="309">
        <f>IF(OR(AA$38="",AA$46=""),"",IF(AA$53="Survival",IF(ISERROR(AA$46/AA$38),"Unknown",AA$46/AA$38),IF(ISERROR(MIN(AA$46,AA$47)/AA$38),"Unknown",MIN(AA$46,AA$47)/AA$38)))</f>
        <v>0.77777777777777779</v>
      </c>
      <c r="AB48" s="310"/>
      <c r="AC48" s="310"/>
      <c r="AD48" s="309" t="str">
        <f>IF(OR(AD$38="",AD$46=""),"",IF(AD$53="Survival",IF(ISERROR(AD$46/AD$38),"Unknown",AD$46/AD$38),IF(ISERROR(MIN(AD$46,AD$47)/AD$38),"Unknown",MIN(AD$46,AD$47)/AD$38)))</f>
        <v>Unknown</v>
      </c>
      <c r="AE48" s="310"/>
      <c r="AF48" s="310"/>
      <c r="AG48" s="309">
        <f>IF(OR(AG$38="",AG$46=""),"",IF(AG$53="Survival",IF(ISERROR(AG$46/AG$38),"Unknown",AG$46/AG$38),IF(ISERROR(MIN(AG$46,AG$47)/AG$38),"Unknown",MIN(AG$46,AG$47)/AG$38)))</f>
        <v>8</v>
      </c>
      <c r="AH48" s="310"/>
      <c r="AI48" s="310"/>
      <c r="AJ48" s="309">
        <f>IF(OR(AJ$38="",AJ$46=""),"",IF(AJ$53="Survival",IF(ISERROR(AJ$46/AJ$38),"Unknown",AJ$46/AJ$38),IF(ISERROR(MIN(AJ$46,AJ$47)/AJ$38),"Unknown",MIN(AJ$46,AJ$47)/AJ$38)))</f>
        <v>7.7037037037037033</v>
      </c>
      <c r="AK48" s="310"/>
      <c r="AL48" s="310"/>
      <c r="AM48" s="309" t="str">
        <f>IF(OR(AM$38="",AM$46=""),"",IF(AM$53="Survival",IF(ISERROR(AM$46/AM$38),"Unknown",AM$46/AM$38),IF(ISERROR(MIN(AM$46,AM$47)/AM$38),"Unknown",MIN(AM$46,AM$47)/AM$38)))</f>
        <v/>
      </c>
      <c r="AN48" s="310"/>
      <c r="AO48" s="310"/>
      <c r="AP48" s="309" t="str">
        <f>IF(OR(AP$38="",AP$46=""),"",IF(AP$53="Survival",IF(ISERROR(AP$46/AP$38),"Unknown",AP$46/AP$38),IF(ISERROR(MIN(AP$46,AP$47)/AP$38),"Unknown",MIN(AP$46,AP$47)/AP$38)))</f>
        <v/>
      </c>
      <c r="AQ48" s="310"/>
      <c r="AR48" s="310"/>
      <c r="AS48" s="309" t="str">
        <f>IF(OR(AS$38="",AS$46=""),"",IF(AS$53="Survival",IF(ISERROR(AS$46/AS$38),"Unknown",AS$46/AS$38),IF(ISERROR(MIN(AS$46,AS$47)/AS$38),"Unknown",MIN(AS$46,AS$47)/AS$38)))</f>
        <v/>
      </c>
      <c r="AT48" s="310"/>
      <c r="AU48" s="310"/>
      <c r="AV48" s="309" t="str">
        <f>IF(OR(AV$38="",AV$46=""),"",IF(AV$53="Survival",IF(ISERROR(AV$46/AV$38),"Unknown",AV$46/AV$38),IF(ISERROR(MIN(AV$46,AV$47)/AV$38),"Unknown",MIN(AV$46,AV$47)/AV$38)))</f>
        <v/>
      </c>
      <c r="AW48" s="310"/>
      <c r="AX48" s="310"/>
      <c r="AY48" s="309" t="str">
        <f>IF(OR(AY$38="",AY$46=""),"",IF(AY$53="Survival",IF(ISERROR(AY$46/AY$38),"Unknown",AY$46/AY$38),IF(ISERROR(MIN(AY$46,AY$47)/AY$38),"Unknown",MIN(AY$46,AY$47)/AY$38)))</f>
        <v/>
      </c>
      <c r="AZ48" s="310"/>
      <c r="BA48" s="310"/>
      <c r="BB48" s="309" t="str">
        <f>IF(OR(BB$38="",BB$46=""),"",IF(BB$53="Survival",IF(ISERROR(BB$46/BB$38),"Unknown",BB$46/BB$38),IF(ISERROR(MIN(BB$46,BB$47)/BB$38),"Unknown",MIN(BB$46,BB$47)/BB$38)))</f>
        <v/>
      </c>
      <c r="BC48" s="310"/>
      <c r="BD48" s="310"/>
      <c r="BE48" s="309" t="str">
        <f>IF(OR(BE$38="",BE$46=""),"",IF(BE$53="Survival",IF(ISERROR(BE$46/BE$38),"Unknown",BE$46/BE$38),IF(ISERROR(MIN(BE$46,BE$47)/BE$38),"Unknown",MIN(BE$46,BE$47)/BE$38)))</f>
        <v/>
      </c>
      <c r="BF48" s="310"/>
      <c r="BG48" s="310"/>
      <c r="BH48" s="309" t="str">
        <f>IF(OR(BH$38="",BH$46=""),"",IF(BH$53="Survival",IF(ISERROR(BH$46/BH$38),"Unknown",BH$46/BH$38),IF(ISERROR(MIN(BH$46,BH$47)/BH$38),"Unknown",MIN(BH$46,BH$47)/BH$38)))</f>
        <v/>
      </c>
      <c r="BI48" s="310"/>
      <c r="BJ48" s="310"/>
      <c r="BK48" s="309" t="str">
        <f>IF(OR(BK$38="",BK$46=""),"",IF(BK$53="Survival",IF(ISERROR(BK$46/BK$38),"Unknown",BK$46/BK$38),IF(ISERROR(MIN(BK$46,BK$47)/BK$38),"Unknown",MIN(BK$46,BK$47)/BK$38)))</f>
        <v/>
      </c>
      <c r="BL48" s="310"/>
      <c r="BM48" s="310"/>
      <c r="BN48" s="309" t="str">
        <f>IF(OR(BN$38="",BN$46=""),"",IF(BN$53="Survival",IF(ISERROR(BN$46/BN$38),"Unknown",BN$46/BN$38),IF(ISERROR(MIN(BN$46,BN$47)/BN$38),"Unknown",MIN(BN$46,BN$47)/BN$38)))</f>
        <v/>
      </c>
      <c r="BO48" s="310"/>
      <c r="BP48" s="310"/>
      <c r="BQ48" s="309" t="str">
        <f>IF(OR(BQ$38="",BQ$46=""),"",IF(BQ$53="Survival",IF(ISERROR(BQ$46/BQ$38),"Unknown",BQ$46/BQ$38),IF(ISERROR(MIN(BQ$46,BQ$47)/BQ$38),"Unknown",MIN(BQ$46,BQ$47)/BQ$38)))</f>
        <v/>
      </c>
      <c r="BR48" s="310"/>
      <c r="BS48" s="310"/>
      <c r="BT48" s="309" t="str">
        <f>IF(OR(BT$38="",BT$46=""),"",IF(BT$53="Survival",IF(ISERROR(BT$46/BT$38),"Unknown",BT$46/BT$38),IF(ISERROR(MIN(BT$46,BT$47)/BT$38),"Unknown",MIN(BT$46,BT$47)/BT$38)))</f>
        <v/>
      </c>
      <c r="BU48" s="310"/>
      <c r="BV48" s="310"/>
      <c r="BW48" s="309" t="str">
        <f>IF(OR(BW$38="",BW$46=""),"",IF(BW$53="Survival",IF(ISERROR(BW$46/BW$38),"Unknown",BW$46/BW$38),IF(ISERROR(MIN(BW$46,BW$47)/BW$38),"Unknown",MIN(BW$46,BW$47)/BW$38)))</f>
        <v/>
      </c>
      <c r="BX48" s="310"/>
      <c r="BY48" s="310"/>
      <c r="BZ48" s="309" t="str">
        <f>IF(OR(BZ$38="",BZ$46=""),"",IF(BZ$53="Survival",IF(ISERROR(BZ$46/BZ$38),"Unknown",BZ$46/BZ$38),IF(ISERROR(MIN(BZ$46,BZ$47)/BZ$38),"Unknown",MIN(BZ$46,BZ$47)/BZ$38)))</f>
        <v/>
      </c>
      <c r="CA48" s="310"/>
      <c r="CB48" s="310"/>
      <c r="CC48" s="309" t="str">
        <f>IF(OR(CC$38="",CC$46=""),"",IF(CC$53="Survival",IF(ISERROR(CC$46/CC$38),"Unknown",CC$46/CC$38),IF(ISERROR(MIN(CC$46,CC$47)/CC$38),"Unknown",MIN(CC$46,CC$47)/CC$38)))</f>
        <v/>
      </c>
      <c r="CD48" s="310"/>
      <c r="CE48" s="310"/>
      <c r="CF48" s="309" t="str">
        <f>IF(OR(CF$38="",CF$46=""),"",IF(CF$53="Survival",IF(ISERROR(CF$46/CF$38),"Unknown",CF$46/CF$38),IF(ISERROR(MIN(CF$46,CF$47)/CF$38),"Unknown",MIN(CF$46,CF$47)/CF$38)))</f>
        <v/>
      </c>
      <c r="CG48" s="310"/>
      <c r="CH48" s="310"/>
      <c r="CI48" s="309" t="str">
        <f>IF(OR(CI$38="",CI$46=""),"",IF(CI$53="Survival",IF(ISERROR(CI$46/CI$38),"Unknown",CI$46/CI$38),IF(ISERROR(MIN(CI$46,CI$47)/CI$38),"Unknown",MIN(CI$46,CI$47)/CI$38)))</f>
        <v/>
      </c>
      <c r="CJ48" s="310"/>
      <c r="CK48" s="310"/>
      <c r="CL48" s="309" t="str">
        <f>IF(OR(CL$38="",CL$46=""),"",IF(CL$53="Survival",IF(ISERROR(CL$46/CL$38),"Unknown",CL$46/CL$38),IF(ISERROR(MIN(CL$46,CL$47)/CL$38),"Unknown",MIN(CL$46,CL$47)/CL$38)))</f>
        <v/>
      </c>
      <c r="CM48" s="310"/>
      <c r="CN48" s="310"/>
      <c r="CO48" s="309" t="str">
        <f>IF(OR(CO$38="",CO$46=""),"",IF(CO$53="Survival",IF(ISERROR(CO$46/CO$38),"Unknown",CO$46/CO$38),IF(ISERROR(MIN(CO$46,CO$47)/CO$38),"Unknown",MIN(CO$46,CO$47)/CO$38)))</f>
        <v/>
      </c>
      <c r="CP48" s="310"/>
      <c r="CQ48" s="310"/>
    </row>
    <row r="49" spans="1:95" s="1" customFormat="1" ht="18.75" customHeight="1" x14ac:dyDescent="0.3">
      <c r="A49" s="337" t="s">
        <v>105</v>
      </c>
      <c r="B49" s="337"/>
      <c r="C49" s="337"/>
      <c r="D49" s="337"/>
      <c r="E49" s="337"/>
      <c r="F49" s="48">
        <f>IF(SUMMARY!$B$7=TRUE,IF(COUNTBLANK(F50:F51)&gt;0,0,1),"")</f>
        <v>1</v>
      </c>
      <c r="G49" s="49"/>
      <c r="H49" s="49"/>
      <c r="I49" s="50">
        <f>IF(SUMMARY!$B$8=TRUE,IF(COUNTBLANK(I50:I51)&gt;0,0,1),"")</f>
        <v>1</v>
      </c>
      <c r="J49" s="49"/>
      <c r="K49" s="49"/>
      <c r="L49" s="50">
        <f>IF(SUMMARY!$B$9=TRUE,IF(COUNTBLANK(L50:L51)&gt;0,0,1),"")</f>
        <v>1</v>
      </c>
      <c r="M49" s="49"/>
      <c r="N49" s="49"/>
      <c r="O49" s="50">
        <f>IF(SUMMARY!$B$10=TRUE,IF(COUNTBLANK(O50:O51)&gt;0,0,1),"")</f>
        <v>1</v>
      </c>
      <c r="P49" s="49"/>
      <c r="Q49" s="49"/>
      <c r="R49" s="50">
        <f>IF(SUMMARY!$B$11=TRUE,IF(COUNTBLANK(R50:R51)&gt;0,0,1),"")</f>
        <v>1</v>
      </c>
      <c r="S49" s="49"/>
      <c r="T49" s="49"/>
      <c r="U49" s="50">
        <f>IF(SUMMARY!$B$12=TRUE,IF(COUNTBLANK(U50:U51)&gt;0,0,1),"")</f>
        <v>1</v>
      </c>
      <c r="V49" s="49"/>
      <c r="W49" s="49"/>
      <c r="X49" s="50">
        <f>IF(SUMMARY!$B$13=TRUE,IF(COUNTBLANK(X50:X51)&gt;0,0,1),"")</f>
        <v>1</v>
      </c>
      <c r="Y49" s="49"/>
      <c r="Z49" s="49"/>
      <c r="AA49" s="50">
        <f>IF(SUMMARY!$B$14=TRUE,IF(COUNTBLANK(AA50:AA51)&gt;0,0,1),"")</f>
        <v>1</v>
      </c>
      <c r="AB49" s="49"/>
      <c r="AC49" s="49"/>
      <c r="AD49" s="50">
        <f>IF(SUMMARY!$B$15=TRUE,IF(COUNTBLANK(AD50:AD51)&gt;0,0,1),"")</f>
        <v>1</v>
      </c>
      <c r="AE49" s="49"/>
      <c r="AF49" s="49"/>
      <c r="AG49" s="50" t="str">
        <f>IF(SUMMARY!$B$16=TRUE,IF(COUNTBLANK(AG50:AG51)&gt;0,0,1),"")</f>
        <v/>
      </c>
      <c r="AH49" s="49"/>
      <c r="AI49" s="49"/>
      <c r="AJ49" s="50" t="str">
        <f>IF(SUMMARY!$B$17=TRUE,IF(COUNTBLANK(AJ50:AJ51)&gt;0,0,1),"")</f>
        <v/>
      </c>
      <c r="AK49" s="49"/>
      <c r="AL49" s="49"/>
      <c r="AM49" s="50" t="str">
        <f>IF(SUMMARY!$B$18=TRUE,IF(COUNTBLANK(AM50:AM51)&gt;0,0,1),"")</f>
        <v/>
      </c>
      <c r="AN49" s="49"/>
      <c r="AO49" s="49"/>
      <c r="AP49" s="50" t="str">
        <f>IF(SUMMARY!$B$19=TRUE,IF(COUNTBLANK(AP50:AP51)&gt;0,0,1),"")</f>
        <v/>
      </c>
      <c r="AQ49" s="49"/>
      <c r="AR49" s="49"/>
      <c r="AS49" s="50" t="str">
        <f>IF(SUMMARY!$B$20=TRUE,IF(COUNTBLANK(AS50:AS51)&gt;0,0,1),"")</f>
        <v/>
      </c>
      <c r="AT49" s="49"/>
      <c r="AU49" s="49"/>
      <c r="AV49" s="50" t="str">
        <f>IF(SUMMARY!$B$21=TRUE,IF(COUNTBLANK(AV50:AV51)&gt;0,0,1),"")</f>
        <v/>
      </c>
      <c r="AW49" s="49"/>
      <c r="AX49" s="49"/>
      <c r="AY49" s="50" t="str">
        <f>IF(SUMMARY!$B$22=TRUE,IF(COUNTBLANK(AY50:AY51)&gt;0,0,1),"")</f>
        <v/>
      </c>
      <c r="AZ49" s="49"/>
      <c r="BA49" s="49"/>
      <c r="BB49" s="50" t="str">
        <f>IF(SUMMARY!$B$23=TRUE,IF(COUNTBLANK(BB50:BB51)&gt;0,0,1),"")</f>
        <v/>
      </c>
      <c r="BC49" s="49"/>
      <c r="BD49" s="49"/>
      <c r="BE49" s="50" t="str">
        <f>IF(SUMMARY!$B$24=TRUE,IF(COUNTBLANK(BE50:BE51)&gt;0,0,1),"")</f>
        <v/>
      </c>
      <c r="BF49" s="49"/>
      <c r="BG49" s="49"/>
      <c r="BH49" s="50" t="str">
        <f>IF(SUMMARY!$B$25=TRUE,IF(COUNTBLANK(BH50:BH51)&gt;0,0,1),"")</f>
        <v/>
      </c>
      <c r="BI49" s="49"/>
      <c r="BJ49" s="49"/>
      <c r="BK49" s="50" t="str">
        <f>IF(SUMMARY!$B$26=TRUE,IF(COUNTBLANK(BK50:BK51)&gt;0,0,1),"")</f>
        <v/>
      </c>
      <c r="BL49" s="49"/>
      <c r="BM49" s="49"/>
      <c r="BN49" s="50" t="str">
        <f>IF(SUMMARY!$B$27=TRUE,IF(COUNTBLANK(BN50:BN51)&gt;0,0,1),"")</f>
        <v/>
      </c>
      <c r="BO49" s="49"/>
      <c r="BP49" s="49"/>
      <c r="BQ49" s="50" t="str">
        <f>IF(SUMMARY!$B$28=TRUE,IF(COUNTBLANK(BQ50:BQ51)&gt;0,0,1),"")</f>
        <v/>
      </c>
      <c r="BR49" s="49"/>
      <c r="BS49" s="49"/>
      <c r="BT49" s="50" t="str">
        <f>IF(SUMMARY!$B$29=TRUE,IF(COUNTBLANK(BT50:BT51)&gt;0,0,1),"")</f>
        <v/>
      </c>
      <c r="BU49" s="49"/>
      <c r="BV49" s="49"/>
      <c r="BW49" s="50" t="str">
        <f>IF(SUMMARY!$B$30=TRUE,IF(COUNTBLANK(BW50:BW51)&gt;0,0,1),"")</f>
        <v/>
      </c>
      <c r="BX49" s="49"/>
      <c r="BY49" s="49"/>
      <c r="BZ49" s="50" t="str">
        <f>IF(SUMMARY!$B$31=TRUE,IF(COUNTBLANK(BZ50:BZ51)&gt;0,0,1),"")</f>
        <v/>
      </c>
      <c r="CA49" s="49"/>
      <c r="CB49" s="49"/>
      <c r="CC49" s="50" t="str">
        <f>IF(SUMMARY!$B$32=TRUE,IF(COUNTBLANK(CC50:CC51)&gt;0,0,1),"")</f>
        <v/>
      </c>
      <c r="CD49" s="49"/>
      <c r="CE49" s="49"/>
      <c r="CF49" s="50" t="str">
        <f>IF(SUMMARY!$B$33=TRUE,IF(COUNTBLANK(CF50:CF51)&gt;0,0,1),"")</f>
        <v/>
      </c>
      <c r="CG49" s="49"/>
      <c r="CH49" s="49"/>
      <c r="CI49" s="50" t="str">
        <f>IF(SUMMARY!$B$34=TRUE,IF(COUNTBLANK(CI50:CI51)&gt;0,0,1),"")</f>
        <v/>
      </c>
      <c r="CJ49" s="49"/>
      <c r="CK49" s="49"/>
      <c r="CL49" s="50" t="str">
        <f>IF(SUMMARY!$B$35=TRUE,IF(COUNTBLANK(CL50:CL51)&gt;0,0,1),"")</f>
        <v/>
      </c>
      <c r="CM49" s="49"/>
      <c r="CN49" s="49"/>
      <c r="CO49" s="51" t="str">
        <f>IF(SUMMARY!$B$36=TRUE,IF(COUNTBLANK(CO50:CO51)&gt;0,0,1),"")</f>
        <v/>
      </c>
      <c r="CP49" s="49"/>
      <c r="CQ49" s="49"/>
    </row>
    <row r="50" spans="1:95" s="13" customFormat="1" ht="15" customHeight="1" x14ac:dyDescent="0.3">
      <c r="A50" s="69" t="s">
        <v>36</v>
      </c>
      <c r="B50" s="69"/>
      <c r="C50" s="69" t="s">
        <v>36</v>
      </c>
      <c r="D50" s="331" t="s">
        <v>106</v>
      </c>
      <c r="E50" s="332"/>
      <c r="F50" s="294" t="s">
        <v>50</v>
      </c>
      <c r="G50" s="295"/>
      <c r="H50" s="295"/>
      <c r="I50" s="294" t="s">
        <v>50</v>
      </c>
      <c r="J50" s="295"/>
      <c r="K50" s="295"/>
      <c r="L50" s="294" t="s">
        <v>50</v>
      </c>
      <c r="M50" s="295"/>
      <c r="N50" s="295"/>
      <c r="O50" s="294">
        <v>991623</v>
      </c>
      <c r="P50" s="295"/>
      <c r="Q50" s="295"/>
      <c r="R50" s="294" t="s">
        <v>50</v>
      </c>
      <c r="S50" s="295"/>
      <c r="T50" s="295"/>
      <c r="U50" s="294">
        <v>8364</v>
      </c>
      <c r="V50" s="295"/>
      <c r="W50" s="295"/>
      <c r="X50" s="294">
        <v>6268</v>
      </c>
      <c r="Y50" s="295"/>
      <c r="Z50" s="295"/>
      <c r="AA50" s="294">
        <v>45</v>
      </c>
      <c r="AB50" s="295"/>
      <c r="AC50" s="295"/>
      <c r="AD50" s="294" t="s">
        <v>50</v>
      </c>
      <c r="AE50" s="295"/>
      <c r="AF50" s="295"/>
      <c r="AG50" s="294">
        <v>4</v>
      </c>
      <c r="AH50" s="295"/>
      <c r="AI50" s="295"/>
      <c r="AJ50" s="294">
        <v>4</v>
      </c>
      <c r="AK50" s="295"/>
      <c r="AL50" s="295"/>
      <c r="AM50" s="294"/>
      <c r="AN50" s="295"/>
      <c r="AO50" s="295"/>
      <c r="AP50" s="294"/>
      <c r="AQ50" s="295"/>
      <c r="AR50" s="295"/>
      <c r="AS50" s="294"/>
      <c r="AT50" s="295"/>
      <c r="AU50" s="295"/>
      <c r="AV50" s="294"/>
      <c r="AW50" s="295"/>
      <c r="AX50" s="295"/>
      <c r="AY50" s="294"/>
      <c r="AZ50" s="295"/>
      <c r="BA50" s="295"/>
      <c r="BB50" s="294"/>
      <c r="BC50" s="295"/>
      <c r="BD50" s="295"/>
      <c r="BE50" s="294"/>
      <c r="BF50" s="295"/>
      <c r="BG50" s="295"/>
      <c r="BH50" s="294"/>
      <c r="BI50" s="295"/>
      <c r="BJ50" s="295"/>
      <c r="BK50" s="294"/>
      <c r="BL50" s="295"/>
      <c r="BM50" s="295"/>
      <c r="BN50" s="294"/>
      <c r="BO50" s="295"/>
      <c r="BP50" s="295"/>
      <c r="BQ50" s="294"/>
      <c r="BR50" s="295"/>
      <c r="BS50" s="295"/>
      <c r="BT50" s="294"/>
      <c r="BU50" s="295"/>
      <c r="BV50" s="295"/>
      <c r="BW50" s="294"/>
      <c r="BX50" s="295"/>
      <c r="BY50" s="295"/>
      <c r="BZ50" s="294"/>
      <c r="CA50" s="295"/>
      <c r="CB50" s="295"/>
      <c r="CC50" s="294"/>
      <c r="CD50" s="295"/>
      <c r="CE50" s="295"/>
      <c r="CF50" s="294"/>
      <c r="CG50" s="295"/>
      <c r="CH50" s="295"/>
      <c r="CI50" s="294"/>
      <c r="CJ50" s="295"/>
      <c r="CK50" s="295"/>
      <c r="CL50" s="294"/>
      <c r="CM50" s="295"/>
      <c r="CN50" s="295"/>
      <c r="CO50" s="294"/>
      <c r="CP50" s="295"/>
      <c r="CQ50" s="295"/>
    </row>
    <row r="51" spans="1:95" s="13" customFormat="1" ht="15" customHeight="1" x14ac:dyDescent="0.3">
      <c r="A51" s="58"/>
      <c r="B51" s="58"/>
      <c r="C51" s="58" t="s">
        <v>36</v>
      </c>
      <c r="D51" s="333" t="s">
        <v>107</v>
      </c>
      <c r="E51" s="334"/>
      <c r="F51" s="290" t="s">
        <v>50</v>
      </c>
      <c r="G51" s="291"/>
      <c r="H51" s="291"/>
      <c r="I51" s="290" t="s">
        <v>50</v>
      </c>
      <c r="J51" s="291"/>
      <c r="K51" s="291"/>
      <c r="L51" s="290" t="s">
        <v>50</v>
      </c>
      <c r="M51" s="291"/>
      <c r="N51" s="291"/>
      <c r="O51" s="290" t="s">
        <v>50</v>
      </c>
      <c r="P51" s="291"/>
      <c r="Q51" s="291"/>
      <c r="R51" s="290" t="s">
        <v>76</v>
      </c>
      <c r="S51" s="291"/>
      <c r="T51" s="291"/>
      <c r="U51" s="290" t="s">
        <v>287</v>
      </c>
      <c r="V51" s="291"/>
      <c r="W51" s="291"/>
      <c r="X51" s="290" t="s">
        <v>108</v>
      </c>
      <c r="Y51" s="291"/>
      <c r="Z51" s="291"/>
      <c r="AA51" s="290" t="s">
        <v>50</v>
      </c>
      <c r="AB51" s="291"/>
      <c r="AC51" s="291"/>
      <c r="AD51" s="290" t="s">
        <v>293</v>
      </c>
      <c r="AE51" s="291"/>
      <c r="AF51" s="291"/>
      <c r="AG51" s="290" t="s">
        <v>108</v>
      </c>
      <c r="AH51" s="291"/>
      <c r="AI51" s="291"/>
      <c r="AJ51" s="290" t="s">
        <v>108</v>
      </c>
      <c r="AK51" s="291"/>
      <c r="AL51" s="291"/>
      <c r="AM51" s="290"/>
      <c r="AN51" s="291"/>
      <c r="AO51" s="291"/>
      <c r="AP51" s="290"/>
      <c r="AQ51" s="291"/>
      <c r="AR51" s="291"/>
      <c r="AS51" s="290"/>
      <c r="AT51" s="291"/>
      <c r="AU51" s="291"/>
      <c r="AV51" s="290"/>
      <c r="AW51" s="291"/>
      <c r="AX51" s="291"/>
      <c r="AY51" s="290"/>
      <c r="AZ51" s="291"/>
      <c r="BA51" s="291"/>
      <c r="BB51" s="290"/>
      <c r="BC51" s="291"/>
      <c r="BD51" s="291"/>
      <c r="BE51" s="290"/>
      <c r="BF51" s="291"/>
      <c r="BG51" s="291"/>
      <c r="BH51" s="290"/>
      <c r="BI51" s="291"/>
      <c r="BJ51" s="291"/>
      <c r="BK51" s="290"/>
      <c r="BL51" s="291"/>
      <c r="BM51" s="291"/>
      <c r="BN51" s="290"/>
      <c r="BO51" s="291"/>
      <c r="BP51" s="291"/>
      <c r="BQ51" s="290"/>
      <c r="BR51" s="291"/>
      <c r="BS51" s="291"/>
      <c r="BT51" s="290"/>
      <c r="BU51" s="291"/>
      <c r="BV51" s="291"/>
      <c r="BW51" s="290"/>
      <c r="BX51" s="291"/>
      <c r="BY51" s="291"/>
      <c r="BZ51" s="290"/>
      <c r="CA51" s="291"/>
      <c r="CB51" s="291"/>
      <c r="CC51" s="290"/>
      <c r="CD51" s="291"/>
      <c r="CE51" s="291"/>
      <c r="CF51" s="290"/>
      <c r="CG51" s="291"/>
      <c r="CH51" s="291"/>
      <c r="CI51" s="290"/>
      <c r="CJ51" s="291"/>
      <c r="CK51" s="291"/>
      <c r="CL51" s="290"/>
      <c r="CM51" s="291"/>
      <c r="CN51" s="291"/>
      <c r="CO51" s="290"/>
      <c r="CP51" s="291"/>
      <c r="CQ51" s="291"/>
    </row>
    <row r="52" spans="1:95" s="1" customFormat="1" ht="18.75" customHeight="1" x14ac:dyDescent="0.3">
      <c r="A52" s="337" t="s">
        <v>109</v>
      </c>
      <c r="B52" s="337"/>
      <c r="C52" s="337"/>
      <c r="D52" s="337"/>
      <c r="E52" s="337"/>
      <c r="F52" s="48">
        <f>IF(SUMMARY!$B$7=TRUE,IF(COUNTBLANK(F53:F56)&gt;0,0,1),"")</f>
        <v>1</v>
      </c>
      <c r="G52" s="49"/>
      <c r="H52" s="49"/>
      <c r="I52" s="50">
        <f>IF(SUMMARY!$B$8=TRUE,IF(COUNTBLANK(I53:I56)&gt;0,0,1),"")</f>
        <v>1</v>
      </c>
      <c r="J52" s="49"/>
      <c r="K52" s="49"/>
      <c r="L52" s="50">
        <f>IF(SUMMARY!$B$9=TRUE,IF(COUNTBLANK(L53:L56)&gt;0,0,1),"")</f>
        <v>1</v>
      </c>
      <c r="M52" s="49"/>
      <c r="N52" s="49"/>
      <c r="O52" s="50">
        <f>IF(SUMMARY!$B$10=TRUE,IF(COUNTBLANK(O53:O56)&gt;0,0,1),"")</f>
        <v>1</v>
      </c>
      <c r="P52" s="49"/>
      <c r="Q52" s="49"/>
      <c r="R52" s="50">
        <f>IF(SUMMARY!$B$11=TRUE,IF(COUNTBLANK(R53:R56)&gt;0,0,1),"")</f>
        <v>1</v>
      </c>
      <c r="S52" s="49"/>
      <c r="T52" s="49"/>
      <c r="U52" s="50">
        <f>IF(SUMMARY!$B$12=TRUE,IF(COUNTBLANK(U53:U56)&gt;0,0,1),"")</f>
        <v>1</v>
      </c>
      <c r="V52" s="49"/>
      <c r="W52" s="49"/>
      <c r="X52" s="50">
        <f>IF(SUMMARY!$B$13=TRUE,IF(COUNTBLANK(X53:X56)&gt;0,0,1),"")</f>
        <v>1</v>
      </c>
      <c r="Y52" s="49"/>
      <c r="Z52" s="49"/>
      <c r="AA52" s="50">
        <f>IF(SUMMARY!$B$14=TRUE,IF(COUNTBLANK(AA53:AA56)&gt;0,0,1),"")</f>
        <v>1</v>
      </c>
      <c r="AB52" s="49"/>
      <c r="AC52" s="49"/>
      <c r="AD52" s="50">
        <f>IF(SUMMARY!$B$15=TRUE,IF(COUNTBLANK(AD53:AD56)&gt;0,0,1),"")</f>
        <v>1</v>
      </c>
      <c r="AE52" s="49"/>
      <c r="AF52" s="49"/>
      <c r="AG52" s="50" t="str">
        <f>IF(SUMMARY!$B$16=TRUE,IF(COUNTBLANK(AG53:AG56)&gt;0,0,1),"")</f>
        <v/>
      </c>
      <c r="AH52" s="49"/>
      <c r="AI52" s="49"/>
      <c r="AJ52" s="50" t="str">
        <f>IF(SUMMARY!$B$17=TRUE,IF(COUNTBLANK(AJ53:AJ56)&gt;0,0,1),"")</f>
        <v/>
      </c>
      <c r="AK52" s="49"/>
      <c r="AL52" s="49"/>
      <c r="AM52" s="50" t="str">
        <f>IF(SUMMARY!$B$18=TRUE,IF(COUNTBLANK(AM53:AM56)&gt;0,0,1),"")</f>
        <v/>
      </c>
      <c r="AN52" s="49"/>
      <c r="AO52" s="49"/>
      <c r="AP52" s="50" t="str">
        <f>IF(SUMMARY!$B$19=TRUE,IF(COUNTBLANK(AP53:AP56)&gt;0,0,1),"")</f>
        <v/>
      </c>
      <c r="AQ52" s="49"/>
      <c r="AR52" s="49"/>
      <c r="AS52" s="50" t="str">
        <f>IF(SUMMARY!$B$20=TRUE,IF(COUNTBLANK(AS53:AS56)&gt;0,0,1),"")</f>
        <v/>
      </c>
      <c r="AT52" s="49"/>
      <c r="AU52" s="49"/>
      <c r="AV52" s="50" t="str">
        <f>IF(SUMMARY!$B$21=TRUE,IF(COUNTBLANK(AV53:AV56)&gt;0,0,1),"")</f>
        <v/>
      </c>
      <c r="AW52" s="49"/>
      <c r="AX52" s="49"/>
      <c r="AY52" s="50" t="str">
        <f>IF(SUMMARY!$B$22=TRUE,IF(COUNTBLANK(AY53:AY56)&gt;0,0,1),"")</f>
        <v/>
      </c>
      <c r="AZ52" s="49"/>
      <c r="BA52" s="49"/>
      <c r="BB52" s="50" t="str">
        <f>IF(SUMMARY!$B$23=TRUE,IF(COUNTBLANK(BB53:BB56)&gt;0,0,1),"")</f>
        <v/>
      </c>
      <c r="BC52" s="49"/>
      <c r="BD52" s="49"/>
      <c r="BE52" s="50" t="str">
        <f>IF(SUMMARY!$B$24=TRUE,IF(COUNTBLANK(BE53:BE56)&gt;0,0,1),"")</f>
        <v/>
      </c>
      <c r="BF52" s="49"/>
      <c r="BG52" s="49"/>
      <c r="BH52" s="50" t="str">
        <f>IF(SUMMARY!$B$25=TRUE,IF(COUNTBLANK(BH53:BH56)&gt;0,0,1),"")</f>
        <v/>
      </c>
      <c r="BI52" s="49"/>
      <c r="BJ52" s="49"/>
      <c r="BK52" s="50" t="str">
        <f>IF(SUMMARY!$B$26=TRUE,IF(COUNTBLANK(BK53:BK56)&gt;0,0,1),"")</f>
        <v/>
      </c>
      <c r="BL52" s="49"/>
      <c r="BM52" s="49"/>
      <c r="BN52" s="50" t="str">
        <f>IF(SUMMARY!$B$27=TRUE,IF(COUNTBLANK(BN53:BN56)&gt;0,0,1),"")</f>
        <v/>
      </c>
      <c r="BO52" s="49"/>
      <c r="BP52" s="49"/>
      <c r="BQ52" s="50" t="str">
        <f>IF(SUMMARY!$B$28=TRUE,IF(COUNTBLANK(BQ53:BQ56)&gt;0,0,1),"")</f>
        <v/>
      </c>
      <c r="BR52" s="49"/>
      <c r="BS52" s="49"/>
      <c r="BT52" s="50" t="str">
        <f>IF(SUMMARY!$B$29=TRUE,IF(COUNTBLANK(BT53:BT56)&gt;0,0,1),"")</f>
        <v/>
      </c>
      <c r="BU52" s="49"/>
      <c r="BV52" s="49"/>
      <c r="BW52" s="50" t="str">
        <f>IF(SUMMARY!$B$30=TRUE,IF(COUNTBLANK(BW53:BW56)&gt;0,0,1),"")</f>
        <v/>
      </c>
      <c r="BX52" s="49"/>
      <c r="BY52" s="49"/>
      <c r="BZ52" s="50" t="str">
        <f>IF(SUMMARY!$B$31=TRUE,IF(COUNTBLANK(BZ53:BZ56)&gt;0,0,1),"")</f>
        <v/>
      </c>
      <c r="CA52" s="49"/>
      <c r="CB52" s="49"/>
      <c r="CC52" s="50" t="str">
        <f>IF(SUMMARY!$B$32=TRUE,IF(COUNTBLANK(CC53:CC56)&gt;0,0,1),"")</f>
        <v/>
      </c>
      <c r="CD52" s="49"/>
      <c r="CE52" s="49"/>
      <c r="CF52" s="50" t="str">
        <f>IF(SUMMARY!$B$33=TRUE,IF(COUNTBLANK(CF53:CF56)&gt;0,0,1),"")</f>
        <v/>
      </c>
      <c r="CG52" s="49"/>
      <c r="CH52" s="49"/>
      <c r="CI52" s="50" t="str">
        <f>IF(SUMMARY!$B$34=TRUE,IF(COUNTBLANK(CI53:CI56)&gt;0,0,1),"")</f>
        <v/>
      </c>
      <c r="CJ52" s="49"/>
      <c r="CK52" s="49"/>
      <c r="CL52" s="50" t="str">
        <f>IF(SUMMARY!$B$35=TRUE,IF(COUNTBLANK(CL53:CL56)&gt;0,0,1),"")</f>
        <v/>
      </c>
      <c r="CM52" s="49"/>
      <c r="CN52" s="49"/>
      <c r="CO52" s="51" t="str">
        <f>IF(SUMMARY!$B$36=TRUE,IF(COUNTBLANK(CO53:CO56)&gt;0,0,1),"")</f>
        <v/>
      </c>
      <c r="CP52" s="49"/>
      <c r="CQ52" s="49"/>
    </row>
    <row r="53" spans="1:95" s="13" customFormat="1" ht="15" customHeight="1" x14ac:dyDescent="0.3">
      <c r="A53" s="69" t="s">
        <v>36</v>
      </c>
      <c r="B53" s="69"/>
      <c r="C53" s="69"/>
      <c r="D53" s="331" t="s">
        <v>110</v>
      </c>
      <c r="E53" s="332"/>
      <c r="F53" s="294" t="s">
        <v>344</v>
      </c>
      <c r="G53" s="295"/>
      <c r="H53" s="295"/>
      <c r="I53" s="294" t="s">
        <v>345</v>
      </c>
      <c r="J53" s="295"/>
      <c r="K53" s="295"/>
      <c r="L53" s="294" t="s">
        <v>344</v>
      </c>
      <c r="M53" s="295"/>
      <c r="N53" s="295"/>
      <c r="O53" s="294" t="s">
        <v>344</v>
      </c>
      <c r="P53" s="295"/>
      <c r="Q53" s="295"/>
      <c r="R53" s="294" t="s">
        <v>304</v>
      </c>
      <c r="S53" s="295"/>
      <c r="T53" s="295"/>
      <c r="U53" s="294" t="s">
        <v>344</v>
      </c>
      <c r="V53" s="295"/>
      <c r="W53" s="295"/>
      <c r="X53" s="294" t="s">
        <v>366</v>
      </c>
      <c r="Y53" s="295"/>
      <c r="Z53" s="295"/>
      <c r="AA53" s="294" t="s">
        <v>344</v>
      </c>
      <c r="AB53" s="295"/>
      <c r="AC53" s="295"/>
      <c r="AD53" s="294" t="s">
        <v>344</v>
      </c>
      <c r="AE53" s="295"/>
      <c r="AF53" s="295"/>
      <c r="AG53" s="294" t="s">
        <v>112</v>
      </c>
      <c r="AH53" s="295"/>
      <c r="AI53" s="295"/>
      <c r="AJ53" s="294" t="s">
        <v>112</v>
      </c>
      <c r="AK53" s="295"/>
      <c r="AL53" s="295"/>
      <c r="AM53" s="294"/>
      <c r="AN53" s="295"/>
      <c r="AO53" s="295"/>
      <c r="AP53" s="294"/>
      <c r="AQ53" s="295"/>
      <c r="AR53" s="295"/>
      <c r="AS53" s="294"/>
      <c r="AT53" s="295"/>
      <c r="AU53" s="295"/>
      <c r="AV53" s="294"/>
      <c r="AW53" s="295"/>
      <c r="AX53" s="295"/>
      <c r="AY53" s="294"/>
      <c r="AZ53" s="295"/>
      <c r="BA53" s="295"/>
      <c r="BB53" s="294"/>
      <c r="BC53" s="295"/>
      <c r="BD53" s="295"/>
      <c r="BE53" s="294"/>
      <c r="BF53" s="295"/>
      <c r="BG53" s="295"/>
      <c r="BH53" s="294"/>
      <c r="BI53" s="295"/>
      <c r="BJ53" s="295"/>
      <c r="BK53" s="294"/>
      <c r="BL53" s="295"/>
      <c r="BM53" s="295"/>
      <c r="BN53" s="294"/>
      <c r="BO53" s="295"/>
      <c r="BP53" s="295"/>
      <c r="BQ53" s="294"/>
      <c r="BR53" s="295"/>
      <c r="BS53" s="295"/>
      <c r="BT53" s="294"/>
      <c r="BU53" s="295"/>
      <c r="BV53" s="295"/>
      <c r="BW53" s="294"/>
      <c r="BX53" s="295"/>
      <c r="BY53" s="295"/>
      <c r="BZ53" s="294"/>
      <c r="CA53" s="295"/>
      <c r="CB53" s="295"/>
      <c r="CC53" s="294"/>
      <c r="CD53" s="295"/>
      <c r="CE53" s="295"/>
      <c r="CF53" s="294"/>
      <c r="CG53" s="295"/>
      <c r="CH53" s="295"/>
      <c r="CI53" s="294"/>
      <c r="CJ53" s="295"/>
      <c r="CK53" s="295"/>
      <c r="CL53" s="294"/>
      <c r="CM53" s="295"/>
      <c r="CN53" s="295"/>
      <c r="CO53" s="294"/>
      <c r="CP53" s="295"/>
      <c r="CQ53" s="295"/>
    </row>
    <row r="54" spans="1:95" s="13" customFormat="1" ht="15" customHeight="1" x14ac:dyDescent="0.3">
      <c r="A54" s="62"/>
      <c r="B54" s="62"/>
      <c r="C54" s="62" t="s">
        <v>36</v>
      </c>
      <c r="D54" s="329" t="s">
        <v>113</v>
      </c>
      <c r="E54" s="330"/>
      <c r="F54" s="288" t="s">
        <v>50</v>
      </c>
      <c r="G54" s="289"/>
      <c r="H54" s="289"/>
      <c r="I54" s="288" t="s">
        <v>50</v>
      </c>
      <c r="J54" s="289"/>
      <c r="K54" s="289"/>
      <c r="L54" s="288" t="s">
        <v>50</v>
      </c>
      <c r="M54" s="289"/>
      <c r="N54" s="289"/>
      <c r="O54" s="288" t="s">
        <v>284</v>
      </c>
      <c r="P54" s="289"/>
      <c r="Q54" s="289"/>
      <c r="R54" s="288" t="s">
        <v>50</v>
      </c>
      <c r="S54" s="289"/>
      <c r="T54" s="289"/>
      <c r="U54" s="288" t="s">
        <v>116</v>
      </c>
      <c r="V54" s="289"/>
      <c r="W54" s="289"/>
      <c r="X54" s="288" t="s">
        <v>284</v>
      </c>
      <c r="Y54" s="289"/>
      <c r="Z54" s="289"/>
      <c r="AA54" s="288" t="s">
        <v>58</v>
      </c>
      <c r="AB54" s="289"/>
      <c r="AC54" s="289"/>
      <c r="AD54" s="288" t="s">
        <v>58</v>
      </c>
      <c r="AE54" s="289"/>
      <c r="AF54" s="289"/>
      <c r="AG54" s="288" t="s">
        <v>116</v>
      </c>
      <c r="AH54" s="289"/>
      <c r="AI54" s="289"/>
      <c r="AJ54" s="288" t="s">
        <v>116</v>
      </c>
      <c r="AK54" s="289"/>
      <c r="AL54" s="289"/>
      <c r="AM54" s="288"/>
      <c r="AN54" s="289"/>
      <c r="AO54" s="289"/>
      <c r="AP54" s="288"/>
      <c r="AQ54" s="289"/>
      <c r="AR54" s="289"/>
      <c r="AS54" s="288"/>
      <c r="AT54" s="289"/>
      <c r="AU54" s="289"/>
      <c r="AV54" s="288"/>
      <c r="AW54" s="289"/>
      <c r="AX54" s="289"/>
      <c r="AY54" s="288"/>
      <c r="AZ54" s="289"/>
      <c r="BA54" s="289"/>
      <c r="BB54" s="288"/>
      <c r="BC54" s="289"/>
      <c r="BD54" s="289"/>
      <c r="BE54" s="288"/>
      <c r="BF54" s="289"/>
      <c r="BG54" s="289"/>
      <c r="BH54" s="288"/>
      <c r="BI54" s="289"/>
      <c r="BJ54" s="289"/>
      <c r="BK54" s="288"/>
      <c r="BL54" s="289"/>
      <c r="BM54" s="289"/>
      <c r="BN54" s="288"/>
      <c r="BO54" s="289"/>
      <c r="BP54" s="289"/>
      <c r="BQ54" s="288"/>
      <c r="BR54" s="289"/>
      <c r="BS54" s="289"/>
      <c r="BT54" s="288"/>
      <c r="BU54" s="289"/>
      <c r="BV54" s="289"/>
      <c r="BW54" s="288"/>
      <c r="BX54" s="289"/>
      <c r="BY54" s="289"/>
      <c r="BZ54" s="288"/>
      <c r="CA54" s="289"/>
      <c r="CB54" s="289"/>
      <c r="CC54" s="288"/>
      <c r="CD54" s="289"/>
      <c r="CE54" s="289"/>
      <c r="CF54" s="288"/>
      <c r="CG54" s="289"/>
      <c r="CH54" s="289"/>
      <c r="CI54" s="288"/>
      <c r="CJ54" s="289"/>
      <c r="CK54" s="289"/>
      <c r="CL54" s="288"/>
      <c r="CM54" s="289"/>
      <c r="CN54" s="289"/>
      <c r="CO54" s="288"/>
      <c r="CP54" s="289"/>
      <c r="CQ54" s="289"/>
    </row>
    <row r="55" spans="1:95" s="13" customFormat="1" ht="15" customHeight="1" x14ac:dyDescent="0.3">
      <c r="A55" s="62"/>
      <c r="B55" s="62"/>
      <c r="C55" s="62" t="s">
        <v>36</v>
      </c>
      <c r="D55" s="329" t="s">
        <v>117</v>
      </c>
      <c r="E55" s="330"/>
      <c r="F55" s="288" t="s">
        <v>50</v>
      </c>
      <c r="G55" s="289"/>
      <c r="H55" s="289"/>
      <c r="I55" s="288" t="s">
        <v>50</v>
      </c>
      <c r="J55" s="289"/>
      <c r="K55" s="289"/>
      <c r="L55" s="288" t="s">
        <v>50</v>
      </c>
      <c r="M55" s="289"/>
      <c r="N55" s="289"/>
      <c r="O55" s="288" t="s">
        <v>285</v>
      </c>
      <c r="P55" s="289"/>
      <c r="Q55" s="289"/>
      <c r="R55" s="288" t="s">
        <v>76</v>
      </c>
      <c r="S55" s="289"/>
      <c r="T55" s="289"/>
      <c r="U55" s="288" t="s">
        <v>76</v>
      </c>
      <c r="V55" s="289"/>
      <c r="W55" s="289"/>
      <c r="X55" s="288" t="s">
        <v>76</v>
      </c>
      <c r="Y55" s="289"/>
      <c r="Z55" s="289"/>
      <c r="AA55" s="288" t="s">
        <v>76</v>
      </c>
      <c r="AB55" s="289"/>
      <c r="AC55" s="289"/>
      <c r="AD55" s="288" t="s">
        <v>50</v>
      </c>
      <c r="AE55" s="289"/>
      <c r="AF55" s="289"/>
      <c r="AG55" s="288" t="s">
        <v>120</v>
      </c>
      <c r="AH55" s="289"/>
      <c r="AI55" s="289"/>
      <c r="AJ55" s="288" t="s">
        <v>120</v>
      </c>
      <c r="AK55" s="289"/>
      <c r="AL55" s="289"/>
      <c r="AM55" s="288"/>
      <c r="AN55" s="289"/>
      <c r="AO55" s="289"/>
      <c r="AP55" s="288"/>
      <c r="AQ55" s="289"/>
      <c r="AR55" s="289"/>
      <c r="AS55" s="288"/>
      <c r="AT55" s="289"/>
      <c r="AU55" s="289"/>
      <c r="AV55" s="288"/>
      <c r="AW55" s="289"/>
      <c r="AX55" s="289"/>
      <c r="AY55" s="288"/>
      <c r="AZ55" s="289"/>
      <c r="BA55" s="289"/>
      <c r="BB55" s="288"/>
      <c r="BC55" s="289"/>
      <c r="BD55" s="289"/>
      <c r="BE55" s="288"/>
      <c r="BF55" s="289"/>
      <c r="BG55" s="289"/>
      <c r="BH55" s="288"/>
      <c r="BI55" s="289"/>
      <c r="BJ55" s="289"/>
      <c r="BK55" s="288"/>
      <c r="BL55" s="289"/>
      <c r="BM55" s="289"/>
      <c r="BN55" s="288"/>
      <c r="BO55" s="289"/>
      <c r="BP55" s="289"/>
      <c r="BQ55" s="288"/>
      <c r="BR55" s="289"/>
      <c r="BS55" s="289"/>
      <c r="BT55" s="288"/>
      <c r="BU55" s="289"/>
      <c r="BV55" s="289"/>
      <c r="BW55" s="288"/>
      <c r="BX55" s="289"/>
      <c r="BY55" s="289"/>
      <c r="BZ55" s="288"/>
      <c r="CA55" s="289"/>
      <c r="CB55" s="289"/>
      <c r="CC55" s="288"/>
      <c r="CD55" s="289"/>
      <c r="CE55" s="289"/>
      <c r="CF55" s="288"/>
      <c r="CG55" s="289"/>
      <c r="CH55" s="289"/>
      <c r="CI55" s="288"/>
      <c r="CJ55" s="289"/>
      <c r="CK55" s="289"/>
      <c r="CL55" s="288"/>
      <c r="CM55" s="289"/>
      <c r="CN55" s="289"/>
      <c r="CO55" s="288"/>
      <c r="CP55" s="289"/>
      <c r="CQ55" s="289"/>
    </row>
    <row r="56" spans="1:95" s="13" customFormat="1" ht="15" customHeight="1" x14ac:dyDescent="0.3">
      <c r="A56" s="58"/>
      <c r="B56" s="58" t="s">
        <v>36</v>
      </c>
      <c r="C56" s="58" t="s">
        <v>36</v>
      </c>
      <c r="D56" s="333" t="s">
        <v>121</v>
      </c>
      <c r="E56" s="334"/>
      <c r="F56" s="290" t="s">
        <v>50</v>
      </c>
      <c r="G56" s="291"/>
      <c r="H56" s="291"/>
      <c r="I56" s="290" t="s">
        <v>50</v>
      </c>
      <c r="J56" s="291"/>
      <c r="K56" s="291"/>
      <c r="L56" s="290" t="s">
        <v>50</v>
      </c>
      <c r="M56" s="291"/>
      <c r="N56" s="291"/>
      <c r="O56" s="290" t="s">
        <v>88</v>
      </c>
      <c r="P56" s="291"/>
      <c r="Q56" s="291"/>
      <c r="R56" s="290" t="s">
        <v>88</v>
      </c>
      <c r="S56" s="291"/>
      <c r="T56" s="291"/>
      <c r="U56" s="290" t="s">
        <v>88</v>
      </c>
      <c r="V56" s="291"/>
      <c r="W56" s="291"/>
      <c r="X56" s="290" t="s">
        <v>88</v>
      </c>
      <c r="Y56" s="291"/>
      <c r="Z56" s="291"/>
      <c r="AA56" s="290" t="s">
        <v>88</v>
      </c>
      <c r="AB56" s="291"/>
      <c r="AC56" s="291"/>
      <c r="AD56" s="290" t="s">
        <v>88</v>
      </c>
      <c r="AE56" s="291"/>
      <c r="AF56" s="291"/>
      <c r="AG56" s="290" t="s">
        <v>88</v>
      </c>
      <c r="AH56" s="291"/>
      <c r="AI56" s="291"/>
      <c r="AJ56" s="290" t="s">
        <v>88</v>
      </c>
      <c r="AK56" s="291"/>
      <c r="AL56" s="291"/>
      <c r="AM56" s="290"/>
      <c r="AN56" s="291"/>
      <c r="AO56" s="291"/>
      <c r="AP56" s="290"/>
      <c r="AQ56" s="291"/>
      <c r="AR56" s="291"/>
      <c r="AS56" s="290"/>
      <c r="AT56" s="291"/>
      <c r="AU56" s="291"/>
      <c r="AV56" s="290"/>
      <c r="AW56" s="291"/>
      <c r="AX56" s="291"/>
      <c r="AY56" s="290"/>
      <c r="AZ56" s="291"/>
      <c r="BA56" s="291"/>
      <c r="BB56" s="290"/>
      <c r="BC56" s="291"/>
      <c r="BD56" s="291"/>
      <c r="BE56" s="290"/>
      <c r="BF56" s="291"/>
      <c r="BG56" s="291"/>
      <c r="BH56" s="290"/>
      <c r="BI56" s="291"/>
      <c r="BJ56" s="291"/>
      <c r="BK56" s="290"/>
      <c r="BL56" s="291"/>
      <c r="BM56" s="291"/>
      <c r="BN56" s="290"/>
      <c r="BO56" s="291"/>
      <c r="BP56" s="291"/>
      <c r="BQ56" s="290"/>
      <c r="BR56" s="291"/>
      <c r="BS56" s="291"/>
      <c r="BT56" s="290"/>
      <c r="BU56" s="291"/>
      <c r="BV56" s="291"/>
      <c r="BW56" s="290"/>
      <c r="BX56" s="291"/>
      <c r="BY56" s="291"/>
      <c r="BZ56" s="290"/>
      <c r="CA56" s="291"/>
      <c r="CB56" s="291"/>
      <c r="CC56" s="290"/>
      <c r="CD56" s="291"/>
      <c r="CE56" s="291"/>
      <c r="CF56" s="290"/>
      <c r="CG56" s="291"/>
      <c r="CH56" s="291"/>
      <c r="CI56" s="290"/>
      <c r="CJ56" s="291"/>
      <c r="CK56" s="291"/>
      <c r="CL56" s="290"/>
      <c r="CM56" s="291"/>
      <c r="CN56" s="291"/>
      <c r="CO56" s="290"/>
      <c r="CP56" s="291"/>
      <c r="CQ56" s="291"/>
    </row>
    <row r="57" spans="1:95" s="1" customFormat="1" ht="18.75" customHeight="1" x14ac:dyDescent="0.3">
      <c r="A57" s="337" t="s">
        <v>122</v>
      </c>
      <c r="B57" s="337"/>
      <c r="C57" s="337"/>
      <c r="D57" s="337"/>
      <c r="E57" s="337"/>
      <c r="F57" s="48">
        <f>IF(SUMMARY!$B$7=TRUE,IF(COUNTBLANK(F58)+COUNTBLANK(F64)+COUNTBLANK(F71)&gt;0,0,1),"")</f>
        <v>1</v>
      </c>
      <c r="G57" s="49"/>
      <c r="H57" s="49"/>
      <c r="I57" s="50">
        <f>IF(SUMMARY!$B$8=TRUE,IF(COUNTBLANK(I58)+COUNTBLANK(I64)+COUNTBLANK(I71)&gt;0,0,1),"")</f>
        <v>1</v>
      </c>
      <c r="J57" s="49"/>
      <c r="K57" s="49"/>
      <c r="L57" s="50">
        <f>IF(SUMMARY!$B$9=TRUE,IF(COUNTBLANK(L58)+COUNTBLANK(L64)+COUNTBLANK(L71)&gt;0,0,1),"")</f>
        <v>1</v>
      </c>
      <c r="M57" s="49"/>
      <c r="N57" s="49"/>
      <c r="O57" s="50">
        <f>IF(SUMMARY!$B$10=TRUE,IF(COUNTBLANK(O58)+COUNTBLANK(O64)+COUNTBLANK(O71)&gt;0,0,1),"")</f>
        <v>1</v>
      </c>
      <c r="P57" s="49"/>
      <c r="Q57" s="49"/>
      <c r="R57" s="50">
        <f>IF(SUMMARY!$B$11=TRUE,IF(COUNTBLANK(R58)+COUNTBLANK(R64)+COUNTBLANK(R71)&gt;0,0,1),"")</f>
        <v>1</v>
      </c>
      <c r="S57" s="49"/>
      <c r="T57" s="49"/>
      <c r="U57" s="50">
        <f>IF(SUMMARY!$B$12=TRUE,IF(COUNTBLANK(U58)+COUNTBLANK(U64)+COUNTBLANK(U71)&gt;0,0,1),"")</f>
        <v>1</v>
      </c>
      <c r="V57" s="49"/>
      <c r="W57" s="49"/>
      <c r="X57" s="50">
        <f>IF(SUMMARY!$B$13=TRUE,IF(COUNTBLANK(X58)+COUNTBLANK(X64)+COUNTBLANK(X71)&gt;0,0,1),"")</f>
        <v>1</v>
      </c>
      <c r="Y57" s="49"/>
      <c r="Z57" s="49"/>
      <c r="AA57" s="50">
        <f>IF(SUMMARY!$B$14=TRUE,IF(COUNTBLANK(AA58)+COUNTBLANK(AA64)+COUNTBLANK(AA71)&gt;0,0,1),"")</f>
        <v>1</v>
      </c>
      <c r="AB57" s="49"/>
      <c r="AC57" s="49"/>
      <c r="AD57" s="50">
        <f>IF(SUMMARY!$B$15=TRUE,IF(COUNTBLANK(AD58)+COUNTBLANK(AD64)+COUNTBLANK(AD71)&gt;0,0,1),"")</f>
        <v>1</v>
      </c>
      <c r="AE57" s="49"/>
      <c r="AF57" s="49"/>
      <c r="AG57" s="50" t="str">
        <f>IF(SUMMARY!$B$16=TRUE,IF(COUNTBLANK(AG58)+COUNTBLANK(AG64)+COUNTBLANK(AG71)&gt;0,0,1),"")</f>
        <v/>
      </c>
      <c r="AH57" s="49"/>
      <c r="AI57" s="49"/>
      <c r="AJ57" s="50" t="str">
        <f>IF(SUMMARY!$B$17=TRUE,IF(COUNTBLANK(AJ58)+COUNTBLANK(AJ64)+COUNTBLANK(AJ71)&gt;0,0,1),"")</f>
        <v/>
      </c>
      <c r="AK57" s="49"/>
      <c r="AL57" s="49"/>
      <c r="AM57" s="50" t="str">
        <f>IF(SUMMARY!$B$18=TRUE,IF(COUNTBLANK(AM58)+COUNTBLANK(AM64)+COUNTBLANK(AM71)&gt;0,0,1),"")</f>
        <v/>
      </c>
      <c r="AN57" s="49"/>
      <c r="AO57" s="49"/>
      <c r="AP57" s="50" t="str">
        <f>IF(SUMMARY!$B$19=TRUE,IF(COUNTBLANK(AP58)+COUNTBLANK(AP64)+COUNTBLANK(AP71)&gt;0,0,1),"")</f>
        <v/>
      </c>
      <c r="AQ57" s="49"/>
      <c r="AR57" s="49"/>
      <c r="AS57" s="50" t="str">
        <f>IF(SUMMARY!$B$20=TRUE,IF(COUNTBLANK(AS58)+COUNTBLANK(AS64)+COUNTBLANK(AS71)&gt;0,0,1),"")</f>
        <v/>
      </c>
      <c r="AT57" s="49"/>
      <c r="AU57" s="49"/>
      <c r="AV57" s="50" t="str">
        <f>IF(SUMMARY!$B$21=TRUE,IF(COUNTBLANK(AV58)+COUNTBLANK(AV64)+COUNTBLANK(AV71)&gt;0,0,1),"")</f>
        <v/>
      </c>
      <c r="AW57" s="49"/>
      <c r="AX57" s="49"/>
      <c r="AY57" s="50" t="str">
        <f>IF(SUMMARY!$B$22=TRUE,IF(COUNTBLANK(AY58)+COUNTBLANK(AY64)+COUNTBLANK(AY71)&gt;0,0,1),"")</f>
        <v/>
      </c>
      <c r="AZ57" s="49"/>
      <c r="BA57" s="49"/>
      <c r="BB57" s="50" t="str">
        <f>IF(SUMMARY!$B$23=TRUE,IF(COUNTBLANK(BB58)+COUNTBLANK(BB64)+COUNTBLANK(BB71)&gt;0,0,1),"")</f>
        <v/>
      </c>
      <c r="BC57" s="49"/>
      <c r="BD57" s="49"/>
      <c r="BE57" s="50" t="str">
        <f>IF(SUMMARY!$B$24=TRUE,IF(COUNTBLANK(BE58)+COUNTBLANK(BE64)+COUNTBLANK(BE71)&gt;0,0,1),"")</f>
        <v/>
      </c>
      <c r="BF57" s="49"/>
      <c r="BG57" s="49"/>
      <c r="BH57" s="50" t="str">
        <f>IF(SUMMARY!$B$25=TRUE,IF(COUNTBLANK(BH58)+COUNTBLANK(BH64)+COUNTBLANK(BH71)&gt;0,0,1),"")</f>
        <v/>
      </c>
      <c r="BI57" s="49"/>
      <c r="BJ57" s="49"/>
      <c r="BK57" s="50" t="str">
        <f>IF(SUMMARY!$B$26=TRUE,IF(COUNTBLANK(BK58)+COUNTBLANK(BK64)+COUNTBLANK(BK71)&gt;0,0,1),"")</f>
        <v/>
      </c>
      <c r="BL57" s="49"/>
      <c r="BM57" s="49"/>
      <c r="BN57" s="50" t="str">
        <f>IF(SUMMARY!$B$27=TRUE,IF(COUNTBLANK(BN58)+COUNTBLANK(BN64)+COUNTBLANK(BN71)&gt;0,0,1),"")</f>
        <v/>
      </c>
      <c r="BO57" s="49"/>
      <c r="BP57" s="49"/>
      <c r="BQ57" s="50" t="str">
        <f>IF(SUMMARY!$B$28=TRUE,IF(COUNTBLANK(BQ58)+COUNTBLANK(BQ64)+COUNTBLANK(BQ71)&gt;0,0,1),"")</f>
        <v/>
      </c>
      <c r="BR57" s="49"/>
      <c r="BS57" s="49"/>
      <c r="BT57" s="50" t="str">
        <f>IF(SUMMARY!$B$29=TRUE,IF(COUNTBLANK(BT58)+COUNTBLANK(BT64)+COUNTBLANK(BT71)&gt;0,0,1),"")</f>
        <v/>
      </c>
      <c r="BU57" s="49"/>
      <c r="BV57" s="49"/>
      <c r="BW57" s="50" t="str">
        <f>IF(SUMMARY!$B$30=TRUE,IF(COUNTBLANK(BW58)+COUNTBLANK(BW64)+COUNTBLANK(BW71)&gt;0,0,1),"")</f>
        <v/>
      </c>
      <c r="BX57" s="49"/>
      <c r="BY57" s="49"/>
      <c r="BZ57" s="50" t="str">
        <f>IF(SUMMARY!$B$31=TRUE,IF(COUNTBLANK(BZ58)+COUNTBLANK(BZ64)+COUNTBLANK(BZ71)&gt;0,0,1),"")</f>
        <v/>
      </c>
      <c r="CA57" s="49"/>
      <c r="CB57" s="49"/>
      <c r="CC57" s="50" t="str">
        <f>IF(SUMMARY!$B$32=TRUE,IF(COUNTBLANK(CC58)+COUNTBLANK(CC64)+COUNTBLANK(CC71)&gt;0,0,1),"")</f>
        <v/>
      </c>
      <c r="CD57" s="49"/>
      <c r="CE57" s="49"/>
      <c r="CF57" s="50" t="str">
        <f>IF(SUMMARY!$B$33=TRUE,IF(COUNTBLANK(CF58)+COUNTBLANK(CF64)+COUNTBLANK(CF71)&gt;0,0,1),"")</f>
        <v/>
      </c>
      <c r="CG57" s="49"/>
      <c r="CH57" s="49"/>
      <c r="CI57" s="50" t="str">
        <f>IF(SUMMARY!$B$34=TRUE,IF(COUNTBLANK(CI58)+COUNTBLANK(CI64)+COUNTBLANK(CI71)&gt;0,0,1),"")</f>
        <v/>
      </c>
      <c r="CJ57" s="49"/>
      <c r="CK57" s="49"/>
      <c r="CL57" s="50" t="str">
        <f>IF(SUMMARY!$B$35=TRUE,IF(COUNTBLANK(CL58)+COUNTBLANK(CL64)+COUNTBLANK(CL71)&gt;0,0,1),"")</f>
        <v/>
      </c>
      <c r="CM57" s="49"/>
      <c r="CN57" s="49"/>
      <c r="CO57" s="51" t="str">
        <f>IF(SUMMARY!$B$36=TRUE,IF(COUNTBLANK(CO58)+COUNTBLANK(CO64)+COUNTBLANK(CO71)&gt;0,0,1),"")</f>
        <v/>
      </c>
      <c r="CP57" s="49"/>
      <c r="CQ57" s="49"/>
    </row>
    <row r="58" spans="1:95" s="13" customFormat="1" ht="15" customHeight="1" x14ac:dyDescent="0.3">
      <c r="A58" s="69"/>
      <c r="B58" s="69" t="s">
        <v>36</v>
      </c>
      <c r="C58" s="69"/>
      <c r="D58" s="331" t="s">
        <v>123</v>
      </c>
      <c r="E58" s="332"/>
      <c r="F58" s="305" t="str">
        <f>IF(RIGHT(IF(OR(F59="",F60="",F61="",F62=""),"",IF(CONCATENATE(IF(F59="Yes","Calibration plot / ",""),IF(F60="Yes","Slope / ",""),IF(F61="Yes","CITL / ",""),IF(F62="Yes","HL test / ",""),IF(F63="Yes",H63,""))="","Not evaluated",CONCATENATE(IF(F59="Yes","Calibration plot / ",""),IF(F60="Yes","Slope / ",""),IF(F61="Yes","CITL / ",""),IF(F62="Yes","HL test / ",""),IF(F63="Yes",H63,"")))),2)="/ ",LEFT(IF(OR(F59="",F60="",F61="",F62=""),"",IF(CONCATENATE(IF(F59="Yes","Calibration plot / ",""),IF(F60="Yes","Slope / ",""),IF(F61="Yes","CITL / ",""),IF(F62="Yes","HL test / ",""),IF(F63="Yes",H63,""))="","Not evaluated",CONCATENATE(IF(F59="Yes","Calibration plot / ",""),IF(F60="Yes","Slope / ",""),IF(F61="Yes","CITL / ",""),IF(F62="Yes","HL test / ",""),IF(F63="Yes",H63,"")))),LEN(IF(OR(F59="",F60="",F61="",F62=""),"",IF(CONCATENATE(IF(F59="Yes","Calibration plot / ",""),IF(F60="Yes","Slope / ",""),IF(F61="Yes","CITL / ",""),IF(F62="Yes","HL test / ",""),IF(F63="Yes",H63,""))="","Not evaluated",CONCATENATE(IF(F59="Yes","Calibration plot / ",""),IF(F60="Yes","Slope / ",""),IF(F61="Yes","CITL / ",""),IF(F62="Yes","HL test / ",""),IF(F63="Yes",H63,"")))))-2),IF(OR(F59="",F60="",F61="",F62=""),"",IF(CONCATENATE(IF(F59="Yes","Calibration plot / ",""),IF(F60="Yes","Slope / ",""),IF(F61="Yes","CITL / ",""),IF(F62="Yes","HL test / ",""),IF(F63="Yes",H63,""))="","Not evaluated",CONCATENATE(IF(F59="Yes","Calibration plot / ",""),IF(F60="Yes","Slope / ",""),IF(F61="Yes","CITL / ",""),IF(F62="Yes","HL test / ",""),IF(F63="Yes",H63,"")))))</f>
        <v>Not evaluated</v>
      </c>
      <c r="G58" s="306"/>
      <c r="H58" s="306"/>
      <c r="I58" s="305" t="str">
        <f>IF(RIGHT(IF(OR(I59="",I60="",I61="",I62=""),"",IF(CONCATENATE(IF(I59="Yes","Calibration plot / ",""),IF(I60="Yes","Slope / ",""),IF(I61="Yes","CITL / ",""),IF(I62="Yes","HL test / ",""),IF(I63="Yes",K63,""))="","Not evaluated",CONCATENATE(IF(I59="Yes","Calibration plot / ",""),IF(I60="Yes","Slope / ",""),IF(I61="Yes","CITL / ",""),IF(I62="Yes","HL test / ",""),IF(I63="Yes",K63,"")))),2)="/ ",LEFT(IF(OR(I59="",I60="",I61="",I62=""),"",IF(CONCATENATE(IF(I59="Yes","Calibration plot / ",""),IF(I60="Yes","Slope / ",""),IF(I61="Yes","CITL / ",""),IF(I62="Yes","HL test / ",""),IF(I63="Yes",K63,""))="","Not evaluated",CONCATENATE(IF(I59="Yes","Calibration plot / ",""),IF(I60="Yes","Slope / ",""),IF(I61="Yes","CITL / ",""),IF(I62="Yes","HL test / ",""),IF(I63="Yes",K63,"")))),LEN(IF(OR(I59="",I60="",I61="",I62=""),"",IF(CONCATENATE(IF(I59="Yes","Calibration plot / ",""),IF(I60="Yes","Slope / ",""),IF(I61="Yes","CITL / ",""),IF(I62="Yes","HL test / ",""),IF(I63="Yes",K63,""))="","Not evaluated",CONCATENATE(IF(I59="Yes","Calibration plot / ",""),IF(I60="Yes","Slope / ",""),IF(I61="Yes","CITL / ",""),IF(I62="Yes","HL test / ",""),IF(I63="Yes",K63,"")))))-2),IF(OR(I59="",I60="",I61="",I62=""),"",IF(CONCATENATE(IF(I59="Yes","Calibration plot / ",""),IF(I60="Yes","Slope / ",""),IF(I61="Yes","CITL / ",""),IF(I62="Yes","HL test / ",""),IF(I63="Yes",K63,""))="","Not evaluated",CONCATENATE(IF(I59="Yes","Calibration plot / ",""),IF(I60="Yes","Slope / ",""),IF(I61="Yes","CITL / ",""),IF(I62="Yes","HL test / ",""),IF(I63="Yes",K63,"")))))</f>
        <v>Not evaluated</v>
      </c>
      <c r="J58" s="306"/>
      <c r="K58" s="306"/>
      <c r="L58" s="305" t="str">
        <f>IF(RIGHT(IF(OR(L59="",L60="",L61="",L62=""),"",IF(CONCATENATE(IF(L59="Yes","Calibration plot / ",""),IF(L60="Yes","Slope / ",""),IF(L61="Yes","CITL / ",""),IF(L62="Yes","HL test / ",""),IF(L63="Yes",N63,""))="","Not evaluated",CONCATENATE(IF(L59="Yes","Calibration plot / ",""),IF(L60="Yes","Slope / ",""),IF(L61="Yes","CITL / ",""),IF(L62="Yes","HL test / ",""),IF(L63="Yes",N63,"")))),2)="/ ",LEFT(IF(OR(L59="",L60="",L61="",L62=""),"",IF(CONCATENATE(IF(L59="Yes","Calibration plot / ",""),IF(L60="Yes","Slope / ",""),IF(L61="Yes","CITL / ",""),IF(L62="Yes","HL test / ",""),IF(L63="Yes",N63,""))="","Not evaluated",CONCATENATE(IF(L59="Yes","Calibration plot / ",""),IF(L60="Yes","Slope / ",""),IF(L61="Yes","CITL / ",""),IF(L62="Yes","HL test / ",""),IF(L63="Yes",N63,"")))),LEN(IF(OR(L59="",L60="",L61="",L62=""),"",IF(CONCATENATE(IF(L59="Yes","Calibration plot / ",""),IF(L60="Yes","Slope / ",""),IF(L61="Yes","CITL / ",""),IF(L62="Yes","HL test / ",""),IF(L63="Yes",N63,""))="","Not evaluated",CONCATENATE(IF(L59="Yes","Calibration plot / ",""),IF(L60="Yes","Slope / ",""),IF(L61="Yes","CITL / ",""),IF(L62="Yes","HL test / ",""),IF(L63="Yes",N63,"")))))-2),IF(OR(L59="",L60="",L61="",L62=""),"",IF(CONCATENATE(IF(L59="Yes","Calibration plot / ",""),IF(L60="Yes","Slope / ",""),IF(L61="Yes","CITL / ",""),IF(L62="Yes","HL test / ",""),IF(L63="Yes",N63,""))="","Not evaluated",CONCATENATE(IF(L59="Yes","Calibration plot / ",""),IF(L60="Yes","Slope / ",""),IF(L61="Yes","CITL / ",""),IF(L62="Yes","HL test / ",""),IF(L63="Yes",N63,"")))))</f>
        <v>Not evaluated</v>
      </c>
      <c r="M58" s="306"/>
      <c r="N58" s="306"/>
      <c r="O58" s="305" t="str">
        <f>IF(RIGHT(IF(OR(O59="",O60="",O61="",O62=""),"",IF(CONCATENATE(IF(O59="Yes","Calibration plot / ",""),IF(O60="Yes","Slope / ",""),IF(O61="Yes","CITL / ",""),IF(O62="Yes","HL test / ",""),IF(O63="Yes",Q63,""))="","Not evaluated",CONCATENATE(IF(O59="Yes","Calibration plot / ",""),IF(O60="Yes","Slope / ",""),IF(O61="Yes","CITL / ",""),IF(O62="Yes","HL test / ",""),IF(O63="Yes",Q63,"")))),2)="/ ",LEFT(IF(OR(O59="",O60="",O61="",O62=""),"",IF(CONCATENATE(IF(O59="Yes","Calibration plot / ",""),IF(O60="Yes","Slope / ",""),IF(O61="Yes","CITL / ",""),IF(O62="Yes","HL test / ",""),IF(O63="Yes",Q63,""))="","Not evaluated",CONCATENATE(IF(O59="Yes","Calibration plot / ",""),IF(O60="Yes","Slope / ",""),IF(O61="Yes","CITL / ",""),IF(O62="Yes","HL test / ",""),IF(O63="Yes",Q63,"")))),LEN(IF(OR(O59="",O60="",O61="",O62=""),"",IF(CONCATENATE(IF(O59="Yes","Calibration plot / ",""),IF(O60="Yes","Slope / ",""),IF(O61="Yes","CITL / ",""),IF(O62="Yes","HL test / ",""),IF(O63="Yes",Q63,""))="","Not evaluated",CONCATENATE(IF(O59="Yes","Calibration plot / ",""),IF(O60="Yes","Slope / ",""),IF(O61="Yes","CITL / ",""),IF(O62="Yes","HL test / ",""),IF(O63="Yes",Q63,"")))))-2),IF(OR(O59="",O60="",O61="",O62=""),"",IF(CONCATENATE(IF(O59="Yes","Calibration plot / ",""),IF(O60="Yes","Slope / ",""),IF(O61="Yes","CITL / ",""),IF(O62="Yes","HL test / ",""),IF(O63="Yes",Q63,""))="","Not evaluated",CONCATENATE(IF(O59="Yes","Calibration plot / ",""),IF(O60="Yes","Slope / ",""),IF(O61="Yes","CITL / ",""),IF(O62="Yes","HL test / ",""),IF(O63="Yes",Q63,"")))))</f>
        <v xml:space="preserve">Calibration plot </v>
      </c>
      <c r="P58" s="306"/>
      <c r="Q58" s="306"/>
      <c r="R58" s="305" t="str">
        <f>IF(RIGHT(IF(OR(R59="",R60="",R61="",R62=""),"",IF(CONCATENATE(IF(R59="Yes","Calibration plot / ",""),IF(R60="Yes","Slope / ",""),IF(R61="Yes","CITL / ",""),IF(R62="Yes","HL test / ",""),IF(R63="Yes",T63,""))="","Not evaluated",CONCATENATE(IF(R59="Yes","Calibration plot / ",""),IF(R60="Yes","Slope / ",""),IF(R61="Yes","CITL / ",""),IF(R62="Yes","HL test / ",""),IF(R63="Yes",T63,"")))),2)="/ ",LEFT(IF(OR(R59="",R60="",R61="",R62=""),"",IF(CONCATENATE(IF(R59="Yes","Calibration plot / ",""),IF(R60="Yes","Slope / ",""),IF(R61="Yes","CITL / ",""),IF(R62="Yes","HL test / ",""),IF(R63="Yes",T63,""))="","Not evaluated",CONCATENATE(IF(R59="Yes","Calibration plot / ",""),IF(R60="Yes","Slope / ",""),IF(R61="Yes","CITL / ",""),IF(R62="Yes","HL test / ",""),IF(R63="Yes",T63,"")))),LEN(IF(OR(R59="",R60="",R61="",R62=""),"",IF(CONCATENATE(IF(R59="Yes","Calibration plot / ",""),IF(R60="Yes","Slope / ",""),IF(R61="Yes","CITL / ",""),IF(R62="Yes","HL test / ",""),IF(R63="Yes",T63,""))="","Not evaluated",CONCATENATE(IF(R59="Yes","Calibration plot / ",""),IF(R60="Yes","Slope / ",""),IF(R61="Yes","CITL / ",""),IF(R62="Yes","HL test / ",""),IF(R63="Yes",T63,"")))))-2),IF(OR(R59="",R60="",R61="",R62=""),"",IF(CONCATENATE(IF(R59="Yes","Calibration plot / ",""),IF(R60="Yes","Slope / ",""),IF(R61="Yes","CITL / ",""),IF(R62="Yes","HL test / ",""),IF(R63="Yes",T63,""))="","Not evaluated",CONCATENATE(IF(R59="Yes","Calibration plot / ",""),IF(R60="Yes","Slope / ",""),IF(R61="Yes","CITL / ",""),IF(R62="Yes","HL test / ",""),IF(R63="Yes",T63,"")))))</f>
        <v xml:space="preserve">Calibration plot / Slope </v>
      </c>
      <c r="S58" s="306"/>
      <c r="T58" s="306"/>
      <c r="U58" s="305" t="str">
        <f>IF(RIGHT(IF(OR(U59="",U60="",U61="",U62=""),"",IF(CONCATENATE(IF(U59="Yes","Calibration plot / ",""),IF(U60="Yes","Slope / ",""),IF(U61="Yes","CITL / ",""),IF(U62="Yes","HL test / ",""),IF(U63="Yes",W63,""))="","Not evaluated",CONCATENATE(IF(U59="Yes","Calibration plot / ",""),IF(U60="Yes","Slope / ",""),IF(U61="Yes","CITL / ",""),IF(U62="Yes","HL test / ",""),IF(U63="Yes",W63,"")))),2)="/ ",LEFT(IF(OR(U59="",U60="",U61="",U62=""),"",IF(CONCATENATE(IF(U59="Yes","Calibration plot / ",""),IF(U60="Yes","Slope / ",""),IF(U61="Yes","CITL / ",""),IF(U62="Yes","HL test / ",""),IF(U63="Yes",W63,""))="","Not evaluated",CONCATENATE(IF(U59="Yes","Calibration plot / ",""),IF(U60="Yes","Slope / ",""),IF(U61="Yes","CITL / ",""),IF(U62="Yes","HL test / ",""),IF(U63="Yes",W63,"")))),LEN(IF(OR(U59="",U60="",U61="",U62=""),"",IF(CONCATENATE(IF(U59="Yes","Calibration plot / ",""),IF(U60="Yes","Slope / ",""),IF(U61="Yes","CITL / ",""),IF(U62="Yes","HL test / ",""),IF(U63="Yes",W63,""))="","Not evaluated",CONCATENATE(IF(U59="Yes","Calibration plot / ",""),IF(U60="Yes","Slope / ",""),IF(U61="Yes","CITL / ",""),IF(U62="Yes","HL test / ",""),IF(U63="Yes",W63,"")))))-2),IF(OR(U59="",U60="",U61="",U62=""),"",IF(CONCATENATE(IF(U59="Yes","Calibration plot / ",""),IF(U60="Yes","Slope / ",""),IF(U61="Yes","CITL / ",""),IF(U62="Yes","HL test / ",""),IF(U63="Yes",W63,""))="","Not evaluated",CONCATENATE(IF(U59="Yes","Calibration plot / ",""),IF(U60="Yes","Slope / ",""),IF(U61="Yes","CITL / ",""),IF(U62="Yes","HL test / ",""),IF(U63="Yes",W63,"")))))</f>
        <v xml:space="preserve">Calibration plot </v>
      </c>
      <c r="V58" s="306"/>
      <c r="W58" s="306"/>
      <c r="X58" s="305" t="str">
        <f>IF(RIGHT(IF(OR(X59="",X60="",X61="",X62=""),"",IF(CONCATENATE(IF(X59="Yes","Calibration plot / ",""),IF(X60="Yes","Slope / ",""),IF(X61="Yes","CITL / ",""),IF(X62="Yes","HL test / ",""),IF(X63="Yes",Z63,""))="","Not evaluated",CONCATENATE(IF(X59="Yes","Calibration plot / ",""),IF(X60="Yes","Slope / ",""),IF(X61="Yes","CITL / ",""),IF(X62="Yes","HL test / ",""),IF(X63="Yes",Z63,"")))),2)="/ ",LEFT(IF(OR(X59="",X60="",X61="",X62=""),"",IF(CONCATENATE(IF(X59="Yes","Calibration plot / ",""),IF(X60="Yes","Slope / ",""),IF(X61="Yes","CITL / ",""),IF(X62="Yes","HL test / ",""),IF(X63="Yes",Z63,""))="","Not evaluated",CONCATENATE(IF(X59="Yes","Calibration plot / ",""),IF(X60="Yes","Slope / ",""),IF(X61="Yes","CITL / ",""),IF(X62="Yes","HL test / ",""),IF(X63="Yes",Z63,"")))),LEN(IF(OR(X59="",X60="",X61="",X62=""),"",IF(CONCATENATE(IF(X59="Yes","Calibration plot / ",""),IF(X60="Yes","Slope / ",""),IF(X61="Yes","CITL / ",""),IF(X62="Yes","HL test / ",""),IF(X63="Yes",Z63,""))="","Not evaluated",CONCATENATE(IF(X59="Yes","Calibration plot / ",""),IF(X60="Yes","Slope / ",""),IF(X61="Yes","CITL / ",""),IF(X62="Yes","HL test / ",""),IF(X63="Yes",Z63,"")))))-2),IF(OR(X59="",X60="",X61="",X62=""),"",IF(CONCATENATE(IF(X59="Yes","Calibration plot / ",""),IF(X60="Yes","Slope / ",""),IF(X61="Yes","CITL / ",""),IF(X62="Yes","HL test / ",""),IF(X63="Yes",Z63,""))="","Not evaluated",CONCATENATE(IF(X59="Yes","Calibration plot / ",""),IF(X60="Yes","Slope / ",""),IF(X61="Yes","CITL / ",""),IF(X62="Yes","HL test / ",""),IF(X63="Yes",Z63,"")))))</f>
        <v>Not evaluated</v>
      </c>
      <c r="Y58" s="306"/>
      <c r="Z58" s="306"/>
      <c r="AA58" s="305" t="str">
        <f>IF(RIGHT(IF(OR(AA59="",AA60="",AA61="",AA62=""),"",IF(CONCATENATE(IF(AA59="Yes","Calibration plot / ",""),IF(AA60="Yes","Slope / ",""),IF(AA61="Yes","CITL / ",""),IF(AA62="Yes","HL test / ",""),IF(AA63="Yes",AC63,""))="","Not evaluated",CONCATENATE(IF(AA59="Yes","Calibration plot / ",""),IF(AA60="Yes","Slope / ",""),IF(AA61="Yes","CITL / ",""),IF(AA62="Yes","HL test / ",""),IF(AA63="Yes",AC63,"")))),2)="/ ",LEFT(IF(OR(AA59="",AA60="",AA61="",AA62=""),"",IF(CONCATENATE(IF(AA59="Yes","Calibration plot / ",""),IF(AA60="Yes","Slope / ",""),IF(AA61="Yes","CITL / ",""),IF(AA62="Yes","HL test / ",""),IF(AA63="Yes",AC63,""))="","Not evaluated",CONCATENATE(IF(AA59="Yes","Calibration plot / ",""),IF(AA60="Yes","Slope / ",""),IF(AA61="Yes","CITL / ",""),IF(AA62="Yes","HL test / ",""),IF(AA63="Yes",AC63,"")))),LEN(IF(OR(AA59="",AA60="",AA61="",AA62=""),"",IF(CONCATENATE(IF(AA59="Yes","Calibration plot / ",""),IF(AA60="Yes","Slope / ",""),IF(AA61="Yes","CITL / ",""),IF(AA62="Yes","HL test / ",""),IF(AA63="Yes",AC63,""))="","Not evaluated",CONCATENATE(IF(AA59="Yes","Calibration plot / ",""),IF(AA60="Yes","Slope / ",""),IF(AA61="Yes","CITL / ",""),IF(AA62="Yes","HL test / ",""),IF(AA63="Yes",AC63,"")))))-2),IF(OR(AA59="",AA60="",AA61="",AA62=""),"",IF(CONCATENATE(IF(AA59="Yes","Calibration plot / ",""),IF(AA60="Yes","Slope / ",""),IF(AA61="Yes","CITL / ",""),IF(AA62="Yes","HL test / ",""),IF(AA63="Yes",AC63,""))="","Not evaluated",CONCATENATE(IF(AA59="Yes","Calibration plot / ",""),IF(AA60="Yes","Slope / ",""),IF(AA61="Yes","CITL / ",""),IF(AA62="Yes","HL test / ",""),IF(AA63="Yes",AC63,"")))))</f>
        <v xml:space="preserve">Calibration plot / HL test </v>
      </c>
      <c r="AB58" s="306"/>
      <c r="AC58" s="306"/>
      <c r="AD58" s="305" t="str">
        <f>IF(RIGHT(IF(OR(AD59="",AD60="",AD61="",AD62=""),"",IF(CONCATENATE(IF(AD59="Yes","Calibration plot / ",""),IF(AD60="Yes","Slope / ",""),IF(AD61="Yes","CITL / ",""),IF(AD62="Yes","HL test / ",""),IF(AD63="Yes",AF63,""))="","Not evaluated",CONCATENATE(IF(AD59="Yes","Calibration plot / ",""),IF(AD60="Yes","Slope / ",""),IF(AD61="Yes","CITL / ",""),IF(AD62="Yes","HL test / ",""),IF(AD63="Yes",AF63,"")))),2)="/ ",LEFT(IF(OR(AD59="",AD60="",AD61="",AD62=""),"",IF(CONCATENATE(IF(AD59="Yes","Calibration plot / ",""),IF(AD60="Yes","Slope / ",""),IF(AD61="Yes","CITL / ",""),IF(AD62="Yes","HL test / ",""),IF(AD63="Yes",AF63,""))="","Not evaluated",CONCATENATE(IF(AD59="Yes","Calibration plot / ",""),IF(AD60="Yes","Slope / ",""),IF(AD61="Yes","CITL / ",""),IF(AD62="Yes","HL test / ",""),IF(AD63="Yes",AF63,"")))),LEN(IF(OR(AD59="",AD60="",AD61="",AD62=""),"",IF(CONCATENATE(IF(AD59="Yes","Calibration plot / ",""),IF(AD60="Yes","Slope / ",""),IF(AD61="Yes","CITL / ",""),IF(AD62="Yes","HL test / ",""),IF(AD63="Yes",AF63,""))="","Not evaluated",CONCATENATE(IF(AD59="Yes","Calibration plot / ",""),IF(AD60="Yes","Slope / ",""),IF(AD61="Yes","CITL / ",""),IF(AD62="Yes","HL test / ",""),IF(AD63="Yes",AF63,"")))))-2),IF(OR(AD59="",AD60="",AD61="",AD62=""),"",IF(CONCATENATE(IF(AD59="Yes","Calibration plot / ",""),IF(AD60="Yes","Slope / ",""),IF(AD61="Yes","CITL / ",""),IF(AD62="Yes","HL test / ",""),IF(AD63="Yes",AF63,""))="","Not evaluated",CONCATENATE(IF(AD59="Yes","Calibration plot / ",""),IF(AD60="Yes","Slope / ",""),IF(AD61="Yes","CITL / ",""),IF(AD62="Yes","HL test / ",""),IF(AD63="Yes",AF63,"")))))</f>
        <v xml:space="preserve">Calibration plot </v>
      </c>
      <c r="AE58" s="306"/>
      <c r="AF58" s="306"/>
      <c r="AG58" s="305" t="str">
        <f>IF(RIGHT(IF(OR(AG59="",AG60="",AG61="",AG62=""),"",IF(CONCATENATE(IF(AG59="Yes","Calibration plot / ",""),IF(AG60="Yes","Slope / ",""),IF(AG61="Yes","CITL / ",""),IF(AG62="Yes","HL test / ",""),IF(AG63="Yes",AI63,""))="","Not evaluated",CONCATENATE(IF(AG59="Yes","Calibration plot / ",""),IF(AG60="Yes","Slope / ",""),IF(AG61="Yes","CITL / ",""),IF(AG62="Yes","HL test / ",""),IF(AG63="Yes",AI63,"")))),2)="/ ",LEFT(IF(OR(AG59="",AG60="",AG61="",AG62=""),"",IF(CONCATENATE(IF(AG59="Yes","Calibration plot / ",""),IF(AG60="Yes","Slope / ",""),IF(AG61="Yes","CITL / ",""),IF(AG62="Yes","HL test / ",""),IF(AG63="Yes",AI63,""))="","Not evaluated",CONCATENATE(IF(AG59="Yes","Calibration plot / ",""),IF(AG60="Yes","Slope / ",""),IF(AG61="Yes","CITL / ",""),IF(AG62="Yes","HL test / ",""),IF(AG63="Yes",AI63,"")))),LEN(IF(OR(AG59="",AG60="",AG61="",AG62=""),"",IF(CONCATENATE(IF(AG59="Yes","Calibration plot / ",""),IF(AG60="Yes","Slope / ",""),IF(AG61="Yes","CITL / ",""),IF(AG62="Yes","HL test / ",""),IF(AG63="Yes",AI63,""))="","Not evaluated",CONCATENATE(IF(AG59="Yes","Calibration plot / ",""),IF(AG60="Yes","Slope / ",""),IF(AG61="Yes","CITL / ",""),IF(AG62="Yes","HL test / ",""),IF(AG63="Yes",AI63,"")))))-2),IF(OR(AG59="",AG60="",AG61="",AG62=""),"",IF(CONCATENATE(IF(AG59="Yes","Calibration plot / ",""),IF(AG60="Yes","Slope / ",""),IF(AG61="Yes","CITL / ",""),IF(AG62="Yes","HL test / ",""),IF(AG63="Yes",AI63,""))="","Not evaluated",CONCATENATE(IF(AG59="Yes","Calibration plot / ",""),IF(AG60="Yes","Slope / ",""),IF(AG61="Yes","CITL / ",""),IF(AG62="Yes","HL test / ",""),IF(AG63="Yes",AI63,"")))))</f>
        <v xml:space="preserve">Calibration plot / Slope / CITL </v>
      </c>
      <c r="AH58" s="306"/>
      <c r="AI58" s="306"/>
      <c r="AJ58" s="305" t="str">
        <f>IF(RIGHT(IF(OR(AJ59="",AJ60="",AJ61="",AJ62=""),"",IF(CONCATENATE(IF(AJ59="Yes","Calibration plot / ",""),IF(AJ60="Yes","Slope / ",""),IF(AJ61="Yes","CITL / ",""),IF(AJ62="Yes","HL test / ",""),IF(AJ63="Yes",AL63,""))="","Not evaluated",CONCATENATE(IF(AJ59="Yes","Calibration plot / ",""),IF(AJ60="Yes","Slope / ",""),IF(AJ61="Yes","CITL / ",""),IF(AJ62="Yes","HL test / ",""),IF(AJ63="Yes",AL63,"")))),2)="/ ",LEFT(IF(OR(AJ59="",AJ60="",AJ61="",AJ62=""),"",IF(CONCATENATE(IF(AJ59="Yes","Calibration plot / ",""),IF(AJ60="Yes","Slope / ",""),IF(AJ61="Yes","CITL / ",""),IF(AJ62="Yes","HL test / ",""),IF(AJ63="Yes",AL63,""))="","Not evaluated",CONCATENATE(IF(AJ59="Yes","Calibration plot / ",""),IF(AJ60="Yes","Slope / ",""),IF(AJ61="Yes","CITL / ",""),IF(AJ62="Yes","HL test / ",""),IF(AJ63="Yes",AL63,"")))),LEN(IF(OR(AJ59="",AJ60="",AJ61="",AJ62=""),"",IF(CONCATENATE(IF(AJ59="Yes","Calibration plot / ",""),IF(AJ60="Yes","Slope / ",""),IF(AJ61="Yes","CITL / ",""),IF(AJ62="Yes","HL test / ",""),IF(AJ63="Yes",AL63,""))="","Not evaluated",CONCATENATE(IF(AJ59="Yes","Calibration plot / ",""),IF(AJ60="Yes","Slope / ",""),IF(AJ61="Yes","CITL / ",""),IF(AJ62="Yes","HL test / ",""),IF(AJ63="Yes",AL63,"")))))-2),IF(OR(AJ59="",AJ60="",AJ61="",AJ62=""),"",IF(CONCATENATE(IF(AJ59="Yes","Calibration plot / ",""),IF(AJ60="Yes","Slope / ",""),IF(AJ61="Yes","CITL / ",""),IF(AJ62="Yes","HL test / ",""),IF(AJ63="Yes",AL63,""))="","Not evaluated",CONCATENATE(IF(AJ59="Yes","Calibration plot / ",""),IF(AJ60="Yes","Slope / ",""),IF(AJ61="Yes","CITL / ",""),IF(AJ62="Yes","HL test / ",""),IF(AJ63="Yes",AL63,"")))))</f>
        <v xml:space="preserve">Calibration plot / Slope / CITL </v>
      </c>
      <c r="AK58" s="306"/>
      <c r="AL58" s="306"/>
      <c r="AM58" s="305" t="str">
        <f>IF(RIGHT(IF(OR(AM59="",AM60="",AM61="",AM62=""),"",IF(CONCATENATE(IF(AM59="Yes","Calibration plot / ",""),IF(AM60="Yes","Slope / ",""),IF(AM61="Yes","CITL / ",""),IF(AM62="Yes","HL test / ",""),IF(AM63="Yes",AO63,""))="","Not evaluated",CONCATENATE(IF(AM59="Yes","Calibration plot / ",""),IF(AM60="Yes","Slope / ",""),IF(AM61="Yes","CITL / ",""),IF(AM62="Yes","HL test / ",""),IF(AM63="Yes",AO63,"")))),2)="/ ",LEFT(IF(OR(AM59="",AM60="",AM61="",AM62=""),"",IF(CONCATENATE(IF(AM59="Yes","Calibration plot / ",""),IF(AM60="Yes","Slope / ",""),IF(AM61="Yes","CITL / ",""),IF(AM62="Yes","HL test / ",""),IF(AM63="Yes",AO63,""))="","Not evaluated",CONCATENATE(IF(AM59="Yes","Calibration plot / ",""),IF(AM60="Yes","Slope / ",""),IF(AM61="Yes","CITL / ",""),IF(AM62="Yes","HL test / ",""),IF(AM63="Yes",AO63,"")))),LEN(IF(OR(AM59="",AM60="",AM61="",AM62=""),"",IF(CONCATENATE(IF(AM59="Yes","Calibration plot / ",""),IF(AM60="Yes","Slope / ",""),IF(AM61="Yes","CITL / ",""),IF(AM62="Yes","HL test / ",""),IF(AM63="Yes",AO63,""))="","Not evaluated",CONCATENATE(IF(AM59="Yes","Calibration plot / ",""),IF(AM60="Yes","Slope / ",""),IF(AM61="Yes","CITL / ",""),IF(AM62="Yes","HL test / ",""),IF(AM63="Yes",AO63,"")))))-2),IF(OR(AM59="",AM60="",AM61="",AM62=""),"",IF(CONCATENATE(IF(AM59="Yes","Calibration plot / ",""),IF(AM60="Yes","Slope / ",""),IF(AM61="Yes","CITL / ",""),IF(AM62="Yes","HL test / ",""),IF(AM63="Yes",AO63,""))="","Not evaluated",CONCATENATE(IF(AM59="Yes","Calibration plot / ",""),IF(AM60="Yes","Slope / ",""),IF(AM61="Yes","CITL / ",""),IF(AM62="Yes","HL test / ",""),IF(AM63="Yes",AO63,"")))))</f>
        <v/>
      </c>
      <c r="AN58" s="306"/>
      <c r="AO58" s="306"/>
      <c r="AP58" s="305" t="str">
        <f>IF(RIGHT(IF(OR(AP59="",AP60="",AP61="",AP62=""),"",IF(CONCATENATE(IF(AP59="Yes","Calibration plot / ",""),IF(AP60="Yes","Slope / ",""),IF(AP61="Yes","CITL / ",""),IF(AP62="Yes","HL test / ",""),IF(AP63="Yes",AR63,""))="","Not evaluated",CONCATENATE(IF(AP59="Yes","Calibration plot / ",""),IF(AP60="Yes","Slope / ",""),IF(AP61="Yes","CITL / ",""),IF(AP62="Yes","HL test / ",""),IF(AP63="Yes",AR63,"")))),2)="/ ",LEFT(IF(OR(AP59="",AP60="",AP61="",AP62=""),"",IF(CONCATENATE(IF(AP59="Yes","Calibration plot / ",""),IF(AP60="Yes","Slope / ",""),IF(AP61="Yes","CITL / ",""),IF(AP62="Yes","HL test / ",""),IF(AP63="Yes",AR63,""))="","Not evaluated",CONCATENATE(IF(AP59="Yes","Calibration plot / ",""),IF(AP60="Yes","Slope / ",""),IF(AP61="Yes","CITL / ",""),IF(AP62="Yes","HL test / ",""),IF(AP63="Yes",AR63,"")))),LEN(IF(OR(AP59="",AP60="",AP61="",AP62=""),"",IF(CONCATENATE(IF(AP59="Yes","Calibration plot / ",""),IF(AP60="Yes","Slope / ",""),IF(AP61="Yes","CITL / ",""),IF(AP62="Yes","HL test / ",""),IF(AP63="Yes",AR63,""))="","Not evaluated",CONCATENATE(IF(AP59="Yes","Calibration plot / ",""),IF(AP60="Yes","Slope / ",""),IF(AP61="Yes","CITL / ",""),IF(AP62="Yes","HL test / ",""),IF(AP63="Yes",AR63,"")))))-2),IF(OR(AP59="",AP60="",AP61="",AP62=""),"",IF(CONCATENATE(IF(AP59="Yes","Calibration plot / ",""),IF(AP60="Yes","Slope / ",""),IF(AP61="Yes","CITL / ",""),IF(AP62="Yes","HL test / ",""),IF(AP63="Yes",AR63,""))="","Not evaluated",CONCATENATE(IF(AP59="Yes","Calibration plot / ",""),IF(AP60="Yes","Slope / ",""),IF(AP61="Yes","CITL / ",""),IF(AP62="Yes","HL test / ",""),IF(AP63="Yes",AR63,"")))))</f>
        <v/>
      </c>
      <c r="AQ58" s="306"/>
      <c r="AR58" s="306"/>
      <c r="AS58" s="305" t="str">
        <f>IF(RIGHT(IF(OR(AS59="",AS60="",AS61="",AS62=""),"",IF(CONCATENATE(IF(AS59="Yes","Calibration plot / ",""),IF(AS60="Yes","Slope / ",""),IF(AS61="Yes","CITL / ",""),IF(AS62="Yes","HL test / ",""),IF(AS63="Yes",AU63,""))="","Not evaluated",CONCATENATE(IF(AS59="Yes","Calibration plot / ",""),IF(AS60="Yes","Slope / ",""),IF(AS61="Yes","CITL / ",""),IF(AS62="Yes","HL test / ",""),IF(AS63="Yes",AU63,"")))),2)="/ ",LEFT(IF(OR(AS59="",AS60="",AS61="",AS62=""),"",IF(CONCATENATE(IF(AS59="Yes","Calibration plot / ",""),IF(AS60="Yes","Slope / ",""),IF(AS61="Yes","CITL / ",""),IF(AS62="Yes","HL test / ",""),IF(AS63="Yes",AU63,""))="","Not evaluated",CONCATENATE(IF(AS59="Yes","Calibration plot / ",""),IF(AS60="Yes","Slope / ",""),IF(AS61="Yes","CITL / ",""),IF(AS62="Yes","HL test / ",""),IF(AS63="Yes",AU63,"")))),LEN(IF(OR(AS59="",AS60="",AS61="",AS62=""),"",IF(CONCATENATE(IF(AS59="Yes","Calibration plot / ",""),IF(AS60="Yes","Slope / ",""),IF(AS61="Yes","CITL / ",""),IF(AS62="Yes","HL test / ",""),IF(AS63="Yes",AU63,""))="","Not evaluated",CONCATENATE(IF(AS59="Yes","Calibration plot / ",""),IF(AS60="Yes","Slope / ",""),IF(AS61="Yes","CITL / ",""),IF(AS62="Yes","HL test / ",""),IF(AS63="Yes",AU63,"")))))-2),IF(OR(AS59="",AS60="",AS61="",AS62=""),"",IF(CONCATENATE(IF(AS59="Yes","Calibration plot / ",""),IF(AS60="Yes","Slope / ",""),IF(AS61="Yes","CITL / ",""),IF(AS62="Yes","HL test / ",""),IF(AS63="Yes",AU63,""))="","Not evaluated",CONCATENATE(IF(AS59="Yes","Calibration plot / ",""),IF(AS60="Yes","Slope / ",""),IF(AS61="Yes","CITL / ",""),IF(AS62="Yes","HL test / ",""),IF(AS63="Yes",AU63,"")))))</f>
        <v/>
      </c>
      <c r="AT58" s="306"/>
      <c r="AU58" s="306"/>
      <c r="AV58" s="305" t="str">
        <f>IF(RIGHT(IF(OR(AV59="",AV60="",AV61="",AV62=""),"",IF(CONCATENATE(IF(AV59="Yes","Calibration plot / ",""),IF(AV60="Yes","Slope / ",""),IF(AV61="Yes","CITL / ",""),IF(AV62="Yes","HL test / ",""),IF(AV63="Yes",AX63,""))="","Not evaluated",CONCATENATE(IF(AV59="Yes","Calibration plot / ",""),IF(AV60="Yes","Slope / ",""),IF(AV61="Yes","CITL / ",""),IF(AV62="Yes","HL test / ",""),IF(AV63="Yes",AX63,"")))),2)="/ ",LEFT(IF(OR(AV59="",AV60="",AV61="",AV62=""),"",IF(CONCATENATE(IF(AV59="Yes","Calibration plot / ",""),IF(AV60="Yes","Slope / ",""),IF(AV61="Yes","CITL / ",""),IF(AV62="Yes","HL test / ",""),IF(AV63="Yes",AX63,""))="","Not evaluated",CONCATENATE(IF(AV59="Yes","Calibration plot / ",""),IF(AV60="Yes","Slope / ",""),IF(AV61="Yes","CITL / ",""),IF(AV62="Yes","HL test / ",""),IF(AV63="Yes",AX63,"")))),LEN(IF(OR(AV59="",AV60="",AV61="",AV62=""),"",IF(CONCATENATE(IF(AV59="Yes","Calibration plot / ",""),IF(AV60="Yes","Slope / ",""),IF(AV61="Yes","CITL / ",""),IF(AV62="Yes","HL test / ",""),IF(AV63="Yes",AX63,""))="","Not evaluated",CONCATENATE(IF(AV59="Yes","Calibration plot / ",""),IF(AV60="Yes","Slope / ",""),IF(AV61="Yes","CITL / ",""),IF(AV62="Yes","HL test / ",""),IF(AV63="Yes",AX63,"")))))-2),IF(OR(AV59="",AV60="",AV61="",AV62=""),"",IF(CONCATENATE(IF(AV59="Yes","Calibration plot / ",""),IF(AV60="Yes","Slope / ",""),IF(AV61="Yes","CITL / ",""),IF(AV62="Yes","HL test / ",""),IF(AV63="Yes",AX63,""))="","Not evaluated",CONCATENATE(IF(AV59="Yes","Calibration plot / ",""),IF(AV60="Yes","Slope / ",""),IF(AV61="Yes","CITL / ",""),IF(AV62="Yes","HL test / ",""),IF(AV63="Yes",AX63,"")))))</f>
        <v/>
      </c>
      <c r="AW58" s="306"/>
      <c r="AX58" s="306"/>
      <c r="AY58" s="305" t="str">
        <f>IF(RIGHT(IF(OR(AY59="",AY60="",AY61="",AY62=""),"",IF(CONCATENATE(IF(AY59="Yes","Calibration plot / ",""),IF(AY60="Yes","Slope / ",""),IF(AY61="Yes","CITL / ",""),IF(AY62="Yes","HL test / ",""),IF(AY63="Yes",BA63,""))="","Not evaluated",CONCATENATE(IF(AY59="Yes","Calibration plot / ",""),IF(AY60="Yes","Slope / ",""),IF(AY61="Yes","CITL / ",""),IF(AY62="Yes","HL test / ",""),IF(AY63="Yes",BA63,"")))),2)="/ ",LEFT(IF(OR(AY59="",AY60="",AY61="",AY62=""),"",IF(CONCATENATE(IF(AY59="Yes","Calibration plot / ",""),IF(AY60="Yes","Slope / ",""),IF(AY61="Yes","CITL / ",""),IF(AY62="Yes","HL test / ",""),IF(AY63="Yes",BA63,""))="","Not evaluated",CONCATENATE(IF(AY59="Yes","Calibration plot / ",""),IF(AY60="Yes","Slope / ",""),IF(AY61="Yes","CITL / ",""),IF(AY62="Yes","HL test / ",""),IF(AY63="Yes",BA63,"")))),LEN(IF(OR(AY59="",AY60="",AY61="",AY62=""),"",IF(CONCATENATE(IF(AY59="Yes","Calibration plot / ",""),IF(AY60="Yes","Slope / ",""),IF(AY61="Yes","CITL / ",""),IF(AY62="Yes","HL test / ",""),IF(AY63="Yes",BA63,""))="","Not evaluated",CONCATENATE(IF(AY59="Yes","Calibration plot / ",""),IF(AY60="Yes","Slope / ",""),IF(AY61="Yes","CITL / ",""),IF(AY62="Yes","HL test / ",""),IF(AY63="Yes",BA63,"")))))-2),IF(OR(AY59="",AY60="",AY61="",AY62=""),"",IF(CONCATENATE(IF(AY59="Yes","Calibration plot / ",""),IF(AY60="Yes","Slope / ",""),IF(AY61="Yes","CITL / ",""),IF(AY62="Yes","HL test / ",""),IF(AY63="Yes",BA63,""))="","Not evaluated",CONCATENATE(IF(AY59="Yes","Calibration plot / ",""),IF(AY60="Yes","Slope / ",""),IF(AY61="Yes","CITL / ",""),IF(AY62="Yes","HL test / ",""),IF(AY63="Yes",BA63,"")))))</f>
        <v/>
      </c>
      <c r="AZ58" s="306"/>
      <c r="BA58" s="306"/>
      <c r="BB58" s="305" t="str">
        <f>IF(RIGHT(IF(OR(BB59="",BB60="",BB61="",BB62=""),"",IF(CONCATENATE(IF(BB59="Yes","Calibration plot / ",""),IF(BB60="Yes","Slope / ",""),IF(BB61="Yes","CITL / ",""),IF(BB62="Yes","HL test / ",""),IF(BB63="Yes",BD63,""))="","Not evaluated",CONCATENATE(IF(BB59="Yes","Calibration plot / ",""),IF(BB60="Yes","Slope / ",""),IF(BB61="Yes","CITL / ",""),IF(BB62="Yes","HL test / ",""),IF(BB63="Yes",BD63,"")))),2)="/ ",LEFT(IF(OR(BB59="",BB60="",BB61="",BB62=""),"",IF(CONCATENATE(IF(BB59="Yes","Calibration plot / ",""),IF(BB60="Yes","Slope / ",""),IF(BB61="Yes","CITL / ",""),IF(BB62="Yes","HL test / ",""),IF(BB63="Yes",BD63,""))="","Not evaluated",CONCATENATE(IF(BB59="Yes","Calibration plot / ",""),IF(BB60="Yes","Slope / ",""),IF(BB61="Yes","CITL / ",""),IF(BB62="Yes","HL test / ",""),IF(BB63="Yes",BD63,"")))),LEN(IF(OR(BB59="",BB60="",BB61="",BB62=""),"",IF(CONCATENATE(IF(BB59="Yes","Calibration plot / ",""),IF(BB60="Yes","Slope / ",""),IF(BB61="Yes","CITL / ",""),IF(BB62="Yes","HL test / ",""),IF(BB63="Yes",BD63,""))="","Not evaluated",CONCATENATE(IF(BB59="Yes","Calibration plot / ",""),IF(BB60="Yes","Slope / ",""),IF(BB61="Yes","CITL / ",""),IF(BB62="Yes","HL test / ",""),IF(BB63="Yes",BD63,"")))))-2),IF(OR(BB59="",BB60="",BB61="",BB62=""),"",IF(CONCATENATE(IF(BB59="Yes","Calibration plot / ",""),IF(BB60="Yes","Slope / ",""),IF(BB61="Yes","CITL / ",""),IF(BB62="Yes","HL test / ",""),IF(BB63="Yes",BD63,""))="","Not evaluated",CONCATENATE(IF(BB59="Yes","Calibration plot / ",""),IF(BB60="Yes","Slope / ",""),IF(BB61="Yes","CITL / ",""),IF(BB62="Yes","HL test / ",""),IF(BB63="Yes",BD63,"")))))</f>
        <v/>
      </c>
      <c r="BC58" s="306"/>
      <c r="BD58" s="306"/>
      <c r="BE58" s="305" t="str">
        <f>IF(RIGHT(IF(OR(BE59="",BE60="",BE61="",BE62=""),"",IF(CONCATENATE(IF(BE59="Yes","Calibration plot / ",""),IF(BE60="Yes","Slope / ",""),IF(BE61="Yes","CITL / ",""),IF(BE62="Yes","HL test / ",""),IF(BE63="Yes",BG63,""))="","Not evaluated",CONCATENATE(IF(BE59="Yes","Calibration plot / ",""),IF(BE60="Yes","Slope / ",""),IF(BE61="Yes","CITL / ",""),IF(BE62="Yes","HL test / ",""),IF(BE63="Yes",BG63,"")))),2)="/ ",LEFT(IF(OR(BE59="",BE60="",BE61="",BE62=""),"",IF(CONCATENATE(IF(BE59="Yes","Calibration plot / ",""),IF(BE60="Yes","Slope / ",""),IF(BE61="Yes","CITL / ",""),IF(BE62="Yes","HL test / ",""),IF(BE63="Yes",BG63,""))="","Not evaluated",CONCATENATE(IF(BE59="Yes","Calibration plot / ",""),IF(BE60="Yes","Slope / ",""),IF(BE61="Yes","CITL / ",""),IF(BE62="Yes","HL test / ",""),IF(BE63="Yes",BG63,"")))),LEN(IF(OR(BE59="",BE60="",BE61="",BE62=""),"",IF(CONCATENATE(IF(BE59="Yes","Calibration plot / ",""),IF(BE60="Yes","Slope / ",""),IF(BE61="Yes","CITL / ",""),IF(BE62="Yes","HL test / ",""),IF(BE63="Yes",BG63,""))="","Not evaluated",CONCATENATE(IF(BE59="Yes","Calibration plot / ",""),IF(BE60="Yes","Slope / ",""),IF(BE61="Yes","CITL / ",""),IF(BE62="Yes","HL test / ",""),IF(BE63="Yes",BG63,"")))))-2),IF(OR(BE59="",BE60="",BE61="",BE62=""),"",IF(CONCATENATE(IF(BE59="Yes","Calibration plot / ",""),IF(BE60="Yes","Slope / ",""),IF(BE61="Yes","CITL / ",""),IF(BE62="Yes","HL test / ",""),IF(BE63="Yes",BG63,""))="","Not evaluated",CONCATENATE(IF(BE59="Yes","Calibration plot / ",""),IF(BE60="Yes","Slope / ",""),IF(BE61="Yes","CITL / ",""),IF(BE62="Yes","HL test / ",""),IF(BE63="Yes",BG63,"")))))</f>
        <v/>
      </c>
      <c r="BF58" s="306"/>
      <c r="BG58" s="306"/>
      <c r="BH58" s="305" t="str">
        <f>IF(RIGHT(IF(OR(BH59="",BH60="",BH61="",BH62=""),"",IF(CONCATENATE(IF(BH59="Yes","Calibration plot / ",""),IF(BH60="Yes","Slope / ",""),IF(BH61="Yes","CITL / ",""),IF(BH62="Yes","HL test / ",""),IF(BH63="Yes",BJ63,""))="","Not evaluated",CONCATENATE(IF(BH59="Yes","Calibration plot / ",""),IF(BH60="Yes","Slope / ",""),IF(BH61="Yes","CITL / ",""),IF(BH62="Yes","HL test / ",""),IF(BH63="Yes",BJ63,"")))),2)="/ ",LEFT(IF(OR(BH59="",BH60="",BH61="",BH62=""),"",IF(CONCATENATE(IF(BH59="Yes","Calibration plot / ",""),IF(BH60="Yes","Slope / ",""),IF(BH61="Yes","CITL / ",""),IF(BH62="Yes","HL test / ",""),IF(BH63="Yes",BJ63,""))="","Not evaluated",CONCATENATE(IF(BH59="Yes","Calibration plot / ",""),IF(BH60="Yes","Slope / ",""),IF(BH61="Yes","CITL / ",""),IF(BH62="Yes","HL test / ",""),IF(BH63="Yes",BJ63,"")))),LEN(IF(OR(BH59="",BH60="",BH61="",BH62=""),"",IF(CONCATENATE(IF(BH59="Yes","Calibration plot / ",""),IF(BH60="Yes","Slope / ",""),IF(BH61="Yes","CITL / ",""),IF(BH62="Yes","HL test / ",""),IF(BH63="Yes",BJ63,""))="","Not evaluated",CONCATENATE(IF(BH59="Yes","Calibration plot / ",""),IF(BH60="Yes","Slope / ",""),IF(BH61="Yes","CITL / ",""),IF(BH62="Yes","HL test / ",""),IF(BH63="Yes",BJ63,"")))))-2),IF(OR(BH59="",BH60="",BH61="",BH62=""),"",IF(CONCATENATE(IF(BH59="Yes","Calibration plot / ",""),IF(BH60="Yes","Slope / ",""),IF(BH61="Yes","CITL / ",""),IF(BH62="Yes","HL test / ",""),IF(BH63="Yes",BJ63,""))="","Not evaluated",CONCATENATE(IF(BH59="Yes","Calibration plot / ",""),IF(BH60="Yes","Slope / ",""),IF(BH61="Yes","CITL / ",""),IF(BH62="Yes","HL test / ",""),IF(BH63="Yes",BJ63,"")))))</f>
        <v/>
      </c>
      <c r="BI58" s="306"/>
      <c r="BJ58" s="306"/>
      <c r="BK58" s="305" t="str">
        <f>IF(RIGHT(IF(OR(BK59="",BK60="",BK61="",BK62=""),"",IF(CONCATENATE(IF(BK59="Yes","Calibration plot / ",""),IF(BK60="Yes","Slope / ",""),IF(BK61="Yes","CITL / ",""),IF(BK62="Yes","HL test / ",""),IF(BK63="Yes",BM63,""))="","Not evaluated",CONCATENATE(IF(BK59="Yes","Calibration plot / ",""),IF(BK60="Yes","Slope / ",""),IF(BK61="Yes","CITL / ",""),IF(BK62="Yes","HL test / ",""),IF(BK63="Yes",BM63,"")))),2)="/ ",LEFT(IF(OR(BK59="",BK60="",BK61="",BK62=""),"",IF(CONCATENATE(IF(BK59="Yes","Calibration plot / ",""),IF(BK60="Yes","Slope / ",""),IF(BK61="Yes","CITL / ",""),IF(BK62="Yes","HL test / ",""),IF(BK63="Yes",BM63,""))="","Not evaluated",CONCATENATE(IF(BK59="Yes","Calibration plot / ",""),IF(BK60="Yes","Slope / ",""),IF(BK61="Yes","CITL / ",""),IF(BK62="Yes","HL test / ",""),IF(BK63="Yes",BM63,"")))),LEN(IF(OR(BK59="",BK60="",BK61="",BK62=""),"",IF(CONCATENATE(IF(BK59="Yes","Calibration plot / ",""),IF(BK60="Yes","Slope / ",""),IF(BK61="Yes","CITL / ",""),IF(BK62="Yes","HL test / ",""),IF(BK63="Yes",BM63,""))="","Not evaluated",CONCATENATE(IF(BK59="Yes","Calibration plot / ",""),IF(BK60="Yes","Slope / ",""),IF(BK61="Yes","CITL / ",""),IF(BK62="Yes","HL test / ",""),IF(BK63="Yes",BM63,"")))))-2),IF(OR(BK59="",BK60="",BK61="",BK62=""),"",IF(CONCATENATE(IF(BK59="Yes","Calibration plot / ",""),IF(BK60="Yes","Slope / ",""),IF(BK61="Yes","CITL / ",""),IF(BK62="Yes","HL test / ",""),IF(BK63="Yes",BM63,""))="","Not evaluated",CONCATENATE(IF(BK59="Yes","Calibration plot / ",""),IF(BK60="Yes","Slope / ",""),IF(BK61="Yes","CITL / ",""),IF(BK62="Yes","HL test / ",""),IF(BK63="Yes",BM63,"")))))</f>
        <v/>
      </c>
      <c r="BL58" s="306"/>
      <c r="BM58" s="306"/>
      <c r="BN58" s="305" t="str">
        <f>IF(RIGHT(IF(OR(BN59="",BN60="",BN61="",BN62=""),"",IF(CONCATENATE(IF(BN59="Yes","Calibration plot / ",""),IF(BN60="Yes","Slope / ",""),IF(BN61="Yes","CITL / ",""),IF(BN62="Yes","HL test / ",""),IF(BN63="Yes",BP63,""))="","Not evaluated",CONCATENATE(IF(BN59="Yes","Calibration plot / ",""),IF(BN60="Yes","Slope / ",""),IF(BN61="Yes","CITL / ",""),IF(BN62="Yes","HL test / ",""),IF(BN63="Yes",BP63,"")))),2)="/ ",LEFT(IF(OR(BN59="",BN60="",BN61="",BN62=""),"",IF(CONCATENATE(IF(BN59="Yes","Calibration plot / ",""),IF(BN60="Yes","Slope / ",""),IF(BN61="Yes","CITL / ",""),IF(BN62="Yes","HL test / ",""),IF(BN63="Yes",BP63,""))="","Not evaluated",CONCATENATE(IF(BN59="Yes","Calibration plot / ",""),IF(BN60="Yes","Slope / ",""),IF(BN61="Yes","CITL / ",""),IF(BN62="Yes","HL test / ",""),IF(BN63="Yes",BP63,"")))),LEN(IF(OR(BN59="",BN60="",BN61="",BN62=""),"",IF(CONCATENATE(IF(BN59="Yes","Calibration plot / ",""),IF(BN60="Yes","Slope / ",""),IF(BN61="Yes","CITL / ",""),IF(BN62="Yes","HL test / ",""),IF(BN63="Yes",BP63,""))="","Not evaluated",CONCATENATE(IF(BN59="Yes","Calibration plot / ",""),IF(BN60="Yes","Slope / ",""),IF(BN61="Yes","CITL / ",""),IF(BN62="Yes","HL test / ",""),IF(BN63="Yes",BP63,"")))))-2),IF(OR(BN59="",BN60="",BN61="",BN62=""),"",IF(CONCATENATE(IF(BN59="Yes","Calibration plot / ",""),IF(BN60="Yes","Slope / ",""),IF(BN61="Yes","CITL / ",""),IF(BN62="Yes","HL test / ",""),IF(BN63="Yes",BP63,""))="","Not evaluated",CONCATENATE(IF(BN59="Yes","Calibration plot / ",""),IF(BN60="Yes","Slope / ",""),IF(BN61="Yes","CITL / ",""),IF(BN62="Yes","HL test / ",""),IF(BN63="Yes",BP63,"")))))</f>
        <v/>
      </c>
      <c r="BO58" s="306"/>
      <c r="BP58" s="306"/>
      <c r="BQ58" s="305" t="str">
        <f>IF(RIGHT(IF(OR(BQ59="",BQ60="",BQ61="",BQ62=""),"",IF(CONCATENATE(IF(BQ59="Yes","Calibration plot / ",""),IF(BQ60="Yes","Slope / ",""),IF(BQ61="Yes","CITL / ",""),IF(BQ62="Yes","HL test / ",""),IF(BQ63="Yes",BS63,""))="","Not evaluated",CONCATENATE(IF(BQ59="Yes","Calibration plot / ",""),IF(BQ60="Yes","Slope / ",""),IF(BQ61="Yes","CITL / ",""),IF(BQ62="Yes","HL test / ",""),IF(BQ63="Yes",BS63,"")))),2)="/ ",LEFT(IF(OR(BQ59="",BQ60="",BQ61="",BQ62=""),"",IF(CONCATENATE(IF(BQ59="Yes","Calibration plot / ",""),IF(BQ60="Yes","Slope / ",""),IF(BQ61="Yes","CITL / ",""),IF(BQ62="Yes","HL test / ",""),IF(BQ63="Yes",BS63,""))="","Not evaluated",CONCATENATE(IF(BQ59="Yes","Calibration plot / ",""),IF(BQ60="Yes","Slope / ",""),IF(BQ61="Yes","CITL / ",""),IF(BQ62="Yes","HL test / ",""),IF(BQ63="Yes",BS63,"")))),LEN(IF(OR(BQ59="",BQ60="",BQ61="",BQ62=""),"",IF(CONCATENATE(IF(BQ59="Yes","Calibration plot / ",""),IF(BQ60="Yes","Slope / ",""),IF(BQ61="Yes","CITL / ",""),IF(BQ62="Yes","HL test / ",""),IF(BQ63="Yes",BS63,""))="","Not evaluated",CONCATENATE(IF(BQ59="Yes","Calibration plot / ",""),IF(BQ60="Yes","Slope / ",""),IF(BQ61="Yes","CITL / ",""),IF(BQ62="Yes","HL test / ",""),IF(BQ63="Yes",BS63,"")))))-2),IF(OR(BQ59="",BQ60="",BQ61="",BQ62=""),"",IF(CONCATENATE(IF(BQ59="Yes","Calibration plot / ",""),IF(BQ60="Yes","Slope / ",""),IF(BQ61="Yes","CITL / ",""),IF(BQ62="Yes","HL test / ",""),IF(BQ63="Yes",BS63,""))="","Not evaluated",CONCATENATE(IF(BQ59="Yes","Calibration plot / ",""),IF(BQ60="Yes","Slope / ",""),IF(BQ61="Yes","CITL / ",""),IF(BQ62="Yes","HL test / ",""),IF(BQ63="Yes",BS63,"")))))</f>
        <v/>
      </c>
      <c r="BR58" s="306"/>
      <c r="BS58" s="306"/>
      <c r="BT58" s="305" t="str">
        <f>IF(RIGHT(IF(OR(BT59="",BT60="",BT61="",BT62=""),"",IF(CONCATENATE(IF(BT59="Yes","Calibration plot / ",""),IF(BT60="Yes","Slope / ",""),IF(BT61="Yes","CITL / ",""),IF(BT62="Yes","HL test / ",""),IF(BT63="Yes",BV63,""))="","Not evaluated",CONCATENATE(IF(BT59="Yes","Calibration plot / ",""),IF(BT60="Yes","Slope / ",""),IF(BT61="Yes","CITL / ",""),IF(BT62="Yes","HL test / ",""),IF(BT63="Yes",BV63,"")))),2)="/ ",LEFT(IF(OR(BT59="",BT60="",BT61="",BT62=""),"",IF(CONCATENATE(IF(BT59="Yes","Calibration plot / ",""),IF(BT60="Yes","Slope / ",""),IF(BT61="Yes","CITL / ",""),IF(BT62="Yes","HL test / ",""),IF(BT63="Yes",BV63,""))="","Not evaluated",CONCATENATE(IF(BT59="Yes","Calibration plot / ",""),IF(BT60="Yes","Slope / ",""),IF(BT61="Yes","CITL / ",""),IF(BT62="Yes","HL test / ",""),IF(BT63="Yes",BV63,"")))),LEN(IF(OR(BT59="",BT60="",BT61="",BT62=""),"",IF(CONCATENATE(IF(BT59="Yes","Calibration plot / ",""),IF(BT60="Yes","Slope / ",""),IF(BT61="Yes","CITL / ",""),IF(BT62="Yes","HL test / ",""),IF(BT63="Yes",BV63,""))="","Not evaluated",CONCATENATE(IF(BT59="Yes","Calibration plot / ",""),IF(BT60="Yes","Slope / ",""),IF(BT61="Yes","CITL / ",""),IF(BT62="Yes","HL test / ",""),IF(BT63="Yes",BV63,"")))))-2),IF(OR(BT59="",BT60="",BT61="",BT62=""),"",IF(CONCATENATE(IF(BT59="Yes","Calibration plot / ",""),IF(BT60="Yes","Slope / ",""),IF(BT61="Yes","CITL / ",""),IF(BT62="Yes","HL test / ",""),IF(BT63="Yes",BV63,""))="","Not evaluated",CONCATENATE(IF(BT59="Yes","Calibration plot / ",""),IF(BT60="Yes","Slope / ",""),IF(BT61="Yes","CITL / ",""),IF(BT62="Yes","HL test / ",""),IF(BT63="Yes",BV63,"")))))</f>
        <v/>
      </c>
      <c r="BU58" s="306"/>
      <c r="BV58" s="306"/>
      <c r="BW58" s="305" t="str">
        <f>IF(RIGHT(IF(OR(BW59="",BW60="",BW61="",BW62=""),"",IF(CONCATENATE(IF(BW59="Yes","Calibration plot / ",""),IF(BW60="Yes","Slope / ",""),IF(BW61="Yes","CITL / ",""),IF(BW62="Yes","HL test / ",""),IF(BW63="Yes",BY63,""))="","Not evaluated",CONCATENATE(IF(BW59="Yes","Calibration plot / ",""),IF(BW60="Yes","Slope / ",""),IF(BW61="Yes","CITL / ",""),IF(BW62="Yes","HL test / ",""),IF(BW63="Yes",BY63,"")))),2)="/ ",LEFT(IF(OR(BW59="",BW60="",BW61="",BW62=""),"",IF(CONCATENATE(IF(BW59="Yes","Calibration plot / ",""),IF(BW60="Yes","Slope / ",""),IF(BW61="Yes","CITL / ",""),IF(BW62="Yes","HL test / ",""),IF(BW63="Yes",BY63,""))="","Not evaluated",CONCATENATE(IF(BW59="Yes","Calibration plot / ",""),IF(BW60="Yes","Slope / ",""),IF(BW61="Yes","CITL / ",""),IF(BW62="Yes","HL test / ",""),IF(BW63="Yes",BY63,"")))),LEN(IF(OR(BW59="",BW60="",BW61="",BW62=""),"",IF(CONCATENATE(IF(BW59="Yes","Calibration plot / ",""),IF(BW60="Yes","Slope / ",""),IF(BW61="Yes","CITL / ",""),IF(BW62="Yes","HL test / ",""),IF(BW63="Yes",BY63,""))="","Not evaluated",CONCATENATE(IF(BW59="Yes","Calibration plot / ",""),IF(BW60="Yes","Slope / ",""),IF(BW61="Yes","CITL / ",""),IF(BW62="Yes","HL test / ",""),IF(BW63="Yes",BY63,"")))))-2),IF(OR(BW59="",BW60="",BW61="",BW62=""),"",IF(CONCATENATE(IF(BW59="Yes","Calibration plot / ",""),IF(BW60="Yes","Slope / ",""),IF(BW61="Yes","CITL / ",""),IF(BW62="Yes","HL test / ",""),IF(BW63="Yes",BY63,""))="","Not evaluated",CONCATENATE(IF(BW59="Yes","Calibration plot / ",""),IF(BW60="Yes","Slope / ",""),IF(BW61="Yes","CITL / ",""),IF(BW62="Yes","HL test / ",""),IF(BW63="Yes",BY63,"")))))</f>
        <v/>
      </c>
      <c r="BX58" s="306"/>
      <c r="BY58" s="306"/>
      <c r="BZ58" s="305" t="str">
        <f>IF(RIGHT(IF(OR(BZ59="",BZ60="",BZ61="",BZ62=""),"",IF(CONCATENATE(IF(BZ59="Yes","Calibration plot / ",""),IF(BZ60="Yes","Slope / ",""),IF(BZ61="Yes","CITL / ",""),IF(BZ62="Yes","HL test / ",""),IF(BZ63="Yes",CB63,""))="","Not evaluated",CONCATENATE(IF(BZ59="Yes","Calibration plot / ",""),IF(BZ60="Yes","Slope / ",""),IF(BZ61="Yes","CITL / ",""),IF(BZ62="Yes","HL test / ",""),IF(BZ63="Yes",CB63,"")))),2)="/ ",LEFT(IF(OR(BZ59="",BZ60="",BZ61="",BZ62=""),"",IF(CONCATENATE(IF(BZ59="Yes","Calibration plot / ",""),IF(BZ60="Yes","Slope / ",""),IF(BZ61="Yes","CITL / ",""),IF(BZ62="Yes","HL test / ",""),IF(BZ63="Yes",CB63,""))="","Not evaluated",CONCATENATE(IF(BZ59="Yes","Calibration plot / ",""),IF(BZ60="Yes","Slope / ",""),IF(BZ61="Yes","CITL / ",""),IF(BZ62="Yes","HL test / ",""),IF(BZ63="Yes",CB63,"")))),LEN(IF(OR(BZ59="",BZ60="",BZ61="",BZ62=""),"",IF(CONCATENATE(IF(BZ59="Yes","Calibration plot / ",""),IF(BZ60="Yes","Slope / ",""),IF(BZ61="Yes","CITL / ",""),IF(BZ62="Yes","HL test / ",""),IF(BZ63="Yes",CB63,""))="","Not evaluated",CONCATENATE(IF(BZ59="Yes","Calibration plot / ",""),IF(BZ60="Yes","Slope / ",""),IF(BZ61="Yes","CITL / ",""),IF(BZ62="Yes","HL test / ",""),IF(BZ63="Yes",CB63,"")))))-2),IF(OR(BZ59="",BZ60="",BZ61="",BZ62=""),"",IF(CONCATENATE(IF(BZ59="Yes","Calibration plot / ",""),IF(BZ60="Yes","Slope / ",""),IF(BZ61="Yes","CITL / ",""),IF(BZ62="Yes","HL test / ",""),IF(BZ63="Yes",CB63,""))="","Not evaluated",CONCATENATE(IF(BZ59="Yes","Calibration plot / ",""),IF(BZ60="Yes","Slope / ",""),IF(BZ61="Yes","CITL / ",""),IF(BZ62="Yes","HL test / ",""),IF(BZ63="Yes",CB63,"")))))</f>
        <v/>
      </c>
      <c r="CA58" s="306"/>
      <c r="CB58" s="306"/>
      <c r="CC58" s="305" t="str">
        <f>IF(RIGHT(IF(OR(CC59="",CC60="",CC61="",CC62=""),"",IF(CONCATENATE(IF(CC59="Yes","Calibration plot / ",""),IF(CC60="Yes","Slope / ",""),IF(CC61="Yes","CITL / ",""),IF(CC62="Yes","HL test / ",""),IF(CC63="Yes",CE63,""))="","Not evaluated",CONCATENATE(IF(CC59="Yes","Calibration plot / ",""),IF(CC60="Yes","Slope / ",""),IF(CC61="Yes","CITL / ",""),IF(CC62="Yes","HL test / ",""),IF(CC63="Yes",CE63,"")))),2)="/ ",LEFT(IF(OR(CC59="",CC60="",CC61="",CC62=""),"",IF(CONCATENATE(IF(CC59="Yes","Calibration plot / ",""),IF(CC60="Yes","Slope / ",""),IF(CC61="Yes","CITL / ",""),IF(CC62="Yes","HL test / ",""),IF(CC63="Yes",CE63,""))="","Not evaluated",CONCATENATE(IF(CC59="Yes","Calibration plot / ",""),IF(CC60="Yes","Slope / ",""),IF(CC61="Yes","CITL / ",""),IF(CC62="Yes","HL test / ",""),IF(CC63="Yes",CE63,"")))),LEN(IF(OR(CC59="",CC60="",CC61="",CC62=""),"",IF(CONCATENATE(IF(CC59="Yes","Calibration plot / ",""),IF(CC60="Yes","Slope / ",""),IF(CC61="Yes","CITL / ",""),IF(CC62="Yes","HL test / ",""),IF(CC63="Yes",CE63,""))="","Not evaluated",CONCATENATE(IF(CC59="Yes","Calibration plot / ",""),IF(CC60="Yes","Slope / ",""),IF(CC61="Yes","CITL / ",""),IF(CC62="Yes","HL test / ",""),IF(CC63="Yes",CE63,"")))))-2),IF(OR(CC59="",CC60="",CC61="",CC62=""),"",IF(CONCATENATE(IF(CC59="Yes","Calibration plot / ",""),IF(CC60="Yes","Slope / ",""),IF(CC61="Yes","CITL / ",""),IF(CC62="Yes","HL test / ",""),IF(CC63="Yes",CE63,""))="","Not evaluated",CONCATENATE(IF(CC59="Yes","Calibration plot / ",""),IF(CC60="Yes","Slope / ",""),IF(CC61="Yes","CITL / ",""),IF(CC62="Yes","HL test / ",""),IF(CC63="Yes",CE63,"")))))</f>
        <v/>
      </c>
      <c r="CD58" s="306"/>
      <c r="CE58" s="306"/>
      <c r="CF58" s="305" t="str">
        <f>IF(RIGHT(IF(OR(CF59="",CF60="",CF61="",CF62=""),"",IF(CONCATENATE(IF(CF59="Yes","Calibration plot / ",""),IF(CF60="Yes","Slope / ",""),IF(CF61="Yes","CITL / ",""),IF(CF62="Yes","HL test / ",""),IF(CF63="Yes",CH63,""))="","Not evaluated",CONCATENATE(IF(CF59="Yes","Calibration plot / ",""),IF(CF60="Yes","Slope / ",""),IF(CF61="Yes","CITL / ",""),IF(CF62="Yes","HL test / ",""),IF(CF63="Yes",CH63,"")))),2)="/ ",LEFT(IF(OR(CF59="",CF60="",CF61="",CF62=""),"",IF(CONCATENATE(IF(CF59="Yes","Calibration plot / ",""),IF(CF60="Yes","Slope / ",""),IF(CF61="Yes","CITL / ",""),IF(CF62="Yes","HL test / ",""),IF(CF63="Yes",CH63,""))="","Not evaluated",CONCATENATE(IF(CF59="Yes","Calibration plot / ",""),IF(CF60="Yes","Slope / ",""),IF(CF61="Yes","CITL / ",""),IF(CF62="Yes","HL test / ",""),IF(CF63="Yes",CH63,"")))),LEN(IF(OR(CF59="",CF60="",CF61="",CF62=""),"",IF(CONCATENATE(IF(CF59="Yes","Calibration plot / ",""),IF(CF60="Yes","Slope / ",""),IF(CF61="Yes","CITL / ",""),IF(CF62="Yes","HL test / ",""),IF(CF63="Yes",CH63,""))="","Not evaluated",CONCATENATE(IF(CF59="Yes","Calibration plot / ",""),IF(CF60="Yes","Slope / ",""),IF(CF61="Yes","CITL / ",""),IF(CF62="Yes","HL test / ",""),IF(CF63="Yes",CH63,"")))))-2),IF(OR(CF59="",CF60="",CF61="",CF62=""),"",IF(CONCATENATE(IF(CF59="Yes","Calibration plot / ",""),IF(CF60="Yes","Slope / ",""),IF(CF61="Yes","CITL / ",""),IF(CF62="Yes","HL test / ",""),IF(CF63="Yes",CH63,""))="","Not evaluated",CONCATENATE(IF(CF59="Yes","Calibration plot / ",""),IF(CF60="Yes","Slope / ",""),IF(CF61="Yes","CITL / ",""),IF(CF62="Yes","HL test / ",""),IF(CF63="Yes",CH63,"")))))</f>
        <v/>
      </c>
      <c r="CG58" s="306"/>
      <c r="CH58" s="306"/>
      <c r="CI58" s="305" t="str">
        <f>IF(RIGHT(IF(OR(CI59="",CI60="",CI61="",CI62=""),"",IF(CONCATENATE(IF(CI59="Yes","Calibration plot / ",""),IF(CI60="Yes","Slope / ",""),IF(CI61="Yes","CITL / ",""),IF(CI62="Yes","HL test / ",""),IF(CI63="Yes",CK63,""))="","Not evaluated",CONCATENATE(IF(CI59="Yes","Calibration plot / ",""),IF(CI60="Yes","Slope / ",""),IF(CI61="Yes","CITL / ",""),IF(CI62="Yes","HL test / ",""),IF(CI63="Yes",CK63,"")))),2)="/ ",LEFT(IF(OR(CI59="",CI60="",CI61="",CI62=""),"",IF(CONCATENATE(IF(CI59="Yes","Calibration plot / ",""),IF(CI60="Yes","Slope / ",""),IF(CI61="Yes","CITL / ",""),IF(CI62="Yes","HL test / ",""),IF(CI63="Yes",CK63,""))="","Not evaluated",CONCATENATE(IF(CI59="Yes","Calibration plot / ",""),IF(CI60="Yes","Slope / ",""),IF(CI61="Yes","CITL / ",""),IF(CI62="Yes","HL test / ",""),IF(CI63="Yes",CK63,"")))),LEN(IF(OR(CI59="",CI60="",CI61="",CI62=""),"",IF(CONCATENATE(IF(CI59="Yes","Calibration plot / ",""),IF(CI60="Yes","Slope / ",""),IF(CI61="Yes","CITL / ",""),IF(CI62="Yes","HL test / ",""),IF(CI63="Yes",CK63,""))="","Not evaluated",CONCATENATE(IF(CI59="Yes","Calibration plot / ",""),IF(CI60="Yes","Slope / ",""),IF(CI61="Yes","CITL / ",""),IF(CI62="Yes","HL test / ",""),IF(CI63="Yes",CK63,"")))))-2),IF(OR(CI59="",CI60="",CI61="",CI62=""),"",IF(CONCATENATE(IF(CI59="Yes","Calibration plot / ",""),IF(CI60="Yes","Slope / ",""),IF(CI61="Yes","CITL / ",""),IF(CI62="Yes","HL test / ",""),IF(CI63="Yes",CK63,""))="","Not evaluated",CONCATENATE(IF(CI59="Yes","Calibration plot / ",""),IF(CI60="Yes","Slope / ",""),IF(CI61="Yes","CITL / ",""),IF(CI62="Yes","HL test / ",""),IF(CI63="Yes",CK63,"")))))</f>
        <v/>
      </c>
      <c r="CJ58" s="306"/>
      <c r="CK58" s="306"/>
      <c r="CL58" s="305" t="str">
        <f>IF(RIGHT(IF(OR(CL59="",CL60="",CL61="",CL62=""),"",IF(CONCATENATE(IF(CL59="Yes","Calibration plot / ",""),IF(CL60="Yes","Slope / ",""),IF(CL61="Yes","CITL / ",""),IF(CL62="Yes","HL test / ",""),IF(CL63="Yes",CN63,""))="","Not evaluated",CONCATENATE(IF(CL59="Yes","Calibration plot / ",""),IF(CL60="Yes","Slope / ",""),IF(CL61="Yes","CITL / ",""),IF(CL62="Yes","HL test / ",""),IF(CL63="Yes",CN63,"")))),2)="/ ",LEFT(IF(OR(CL59="",CL60="",CL61="",CL62=""),"",IF(CONCATENATE(IF(CL59="Yes","Calibration plot / ",""),IF(CL60="Yes","Slope / ",""),IF(CL61="Yes","CITL / ",""),IF(CL62="Yes","HL test / ",""),IF(CL63="Yes",CN63,""))="","Not evaluated",CONCATENATE(IF(CL59="Yes","Calibration plot / ",""),IF(CL60="Yes","Slope / ",""),IF(CL61="Yes","CITL / ",""),IF(CL62="Yes","HL test / ",""),IF(CL63="Yes",CN63,"")))),LEN(IF(OR(CL59="",CL60="",CL61="",CL62=""),"",IF(CONCATENATE(IF(CL59="Yes","Calibration plot / ",""),IF(CL60="Yes","Slope / ",""),IF(CL61="Yes","CITL / ",""),IF(CL62="Yes","HL test / ",""),IF(CL63="Yes",CN63,""))="","Not evaluated",CONCATENATE(IF(CL59="Yes","Calibration plot / ",""),IF(CL60="Yes","Slope / ",""),IF(CL61="Yes","CITL / ",""),IF(CL62="Yes","HL test / ",""),IF(CL63="Yes",CN63,"")))))-2),IF(OR(CL59="",CL60="",CL61="",CL62=""),"",IF(CONCATENATE(IF(CL59="Yes","Calibration plot / ",""),IF(CL60="Yes","Slope / ",""),IF(CL61="Yes","CITL / ",""),IF(CL62="Yes","HL test / ",""),IF(CL63="Yes",CN63,""))="","Not evaluated",CONCATENATE(IF(CL59="Yes","Calibration plot / ",""),IF(CL60="Yes","Slope / ",""),IF(CL61="Yes","CITL / ",""),IF(CL62="Yes","HL test / ",""),IF(CL63="Yes",CN63,"")))))</f>
        <v/>
      </c>
      <c r="CM58" s="306"/>
      <c r="CN58" s="306"/>
      <c r="CO58" s="305" t="str">
        <f>IF(RIGHT(IF(OR(CO59="",CO60="",CO61="",CO62=""),"",IF(CONCATENATE(IF(CO59="Yes","Calibration plot / ",""),IF(CO60="Yes","Slope / ",""),IF(CO61="Yes","CITL / ",""),IF(CO62="Yes","HL test / ",""),IF(CO63="Yes",CQ63,""))="","Not evaluated",CONCATENATE(IF(CO59="Yes","Calibration plot / ",""),IF(CO60="Yes","Slope / ",""),IF(CO61="Yes","CITL / ",""),IF(CO62="Yes","HL test / ",""),IF(CO63="Yes",CQ63,"")))),2)="/ ",LEFT(IF(OR(CO59="",CO60="",CO61="",CO62=""),"",IF(CONCATENATE(IF(CO59="Yes","Calibration plot / ",""),IF(CO60="Yes","Slope / ",""),IF(CO61="Yes","CITL / ",""),IF(CO62="Yes","HL test / ",""),IF(CO63="Yes",CQ63,""))="","Not evaluated",CONCATENATE(IF(CO59="Yes","Calibration plot / ",""),IF(CO60="Yes","Slope / ",""),IF(CO61="Yes","CITL / ",""),IF(CO62="Yes","HL test / ",""),IF(CO63="Yes",CQ63,"")))),LEN(IF(OR(CO59="",CO60="",CO61="",CO62=""),"",IF(CONCATENATE(IF(CO59="Yes","Calibration plot / ",""),IF(CO60="Yes","Slope / ",""),IF(CO61="Yes","CITL / ",""),IF(CO62="Yes","HL test / ",""),IF(CO63="Yes",CQ63,""))="","Not evaluated",CONCATENATE(IF(CO59="Yes","Calibration plot / ",""),IF(CO60="Yes","Slope / ",""),IF(CO61="Yes","CITL / ",""),IF(CO62="Yes","HL test / ",""),IF(CO63="Yes",CQ63,"")))))-2),IF(OR(CO59="",CO60="",CO61="",CO62=""),"",IF(CONCATENATE(IF(CO59="Yes","Calibration plot / ",""),IF(CO60="Yes","Slope / ",""),IF(CO61="Yes","CITL / ",""),IF(CO62="Yes","HL test / ",""),IF(CO63="Yes",CQ63,""))="","Not evaluated",CONCATENATE(IF(CO59="Yes","Calibration plot / ",""),IF(CO60="Yes","Slope / ",""),IF(CO61="Yes","CITL / ",""),IF(CO62="Yes","HL test / ",""),IF(CO63="Yes",CQ63,"")))))</f>
        <v/>
      </c>
      <c r="CP58" s="306"/>
      <c r="CQ58" s="306"/>
    </row>
    <row r="59" spans="1:95" s="13" customFormat="1" ht="15" customHeight="1" x14ac:dyDescent="0.3">
      <c r="A59" s="62"/>
      <c r="B59" s="62" t="s">
        <v>36</v>
      </c>
      <c r="C59" s="62"/>
      <c r="D59" s="343" t="s">
        <v>124</v>
      </c>
      <c r="E59" s="344"/>
      <c r="F59" s="288" t="s">
        <v>88</v>
      </c>
      <c r="G59" s="289"/>
      <c r="H59" s="289"/>
      <c r="I59" s="292" t="s">
        <v>88</v>
      </c>
      <c r="J59" s="293"/>
      <c r="K59" s="325"/>
      <c r="L59" s="292" t="s">
        <v>88</v>
      </c>
      <c r="M59" s="293"/>
      <c r="N59" s="325"/>
      <c r="O59" s="292" t="s">
        <v>83</v>
      </c>
      <c r="P59" s="293"/>
      <c r="Q59" s="325"/>
      <c r="R59" s="292" t="s">
        <v>83</v>
      </c>
      <c r="S59" s="293"/>
      <c r="T59" s="325"/>
      <c r="U59" s="292" t="s">
        <v>83</v>
      </c>
      <c r="V59" s="293"/>
      <c r="W59" s="325"/>
      <c r="X59" s="292" t="s">
        <v>88</v>
      </c>
      <c r="Y59" s="293"/>
      <c r="Z59" s="325"/>
      <c r="AA59" s="292" t="s">
        <v>83</v>
      </c>
      <c r="AB59" s="293"/>
      <c r="AC59" s="325"/>
      <c r="AD59" s="292" t="s">
        <v>83</v>
      </c>
      <c r="AE59" s="293"/>
      <c r="AF59" s="325"/>
      <c r="AG59" s="292" t="s">
        <v>83</v>
      </c>
      <c r="AH59" s="293"/>
      <c r="AI59" s="325"/>
      <c r="AJ59" s="292" t="s">
        <v>83</v>
      </c>
      <c r="AK59" s="293"/>
      <c r="AL59" s="325"/>
      <c r="AM59" s="292"/>
      <c r="AN59" s="293"/>
      <c r="AO59" s="325"/>
      <c r="AP59" s="292"/>
      <c r="AQ59" s="293"/>
      <c r="AR59" s="325"/>
      <c r="AS59" s="292"/>
      <c r="AT59" s="293"/>
      <c r="AU59" s="325"/>
      <c r="AV59" s="292"/>
      <c r="AW59" s="293"/>
      <c r="AX59" s="325"/>
      <c r="AY59" s="292"/>
      <c r="AZ59" s="293"/>
      <c r="BA59" s="325"/>
      <c r="BB59" s="292"/>
      <c r="BC59" s="293"/>
      <c r="BD59" s="325"/>
      <c r="BE59" s="292"/>
      <c r="BF59" s="293"/>
      <c r="BG59" s="325"/>
      <c r="BH59" s="292"/>
      <c r="BI59" s="293"/>
      <c r="BJ59" s="325"/>
      <c r="BK59" s="292"/>
      <c r="BL59" s="293"/>
      <c r="BM59" s="325"/>
      <c r="BN59" s="292"/>
      <c r="BO59" s="293"/>
      <c r="BP59" s="325"/>
      <c r="BQ59" s="292"/>
      <c r="BR59" s="293"/>
      <c r="BS59" s="325"/>
      <c r="BT59" s="292"/>
      <c r="BU59" s="293"/>
      <c r="BV59" s="325"/>
      <c r="BW59" s="292"/>
      <c r="BX59" s="293"/>
      <c r="BY59" s="325"/>
      <c r="BZ59" s="292"/>
      <c r="CA59" s="293"/>
      <c r="CB59" s="325"/>
      <c r="CC59" s="292"/>
      <c r="CD59" s="293"/>
      <c r="CE59" s="325"/>
      <c r="CF59" s="292"/>
      <c r="CG59" s="293"/>
      <c r="CH59" s="325"/>
      <c r="CI59" s="292"/>
      <c r="CJ59" s="293"/>
      <c r="CK59" s="325"/>
      <c r="CL59" s="292"/>
      <c r="CM59" s="293"/>
      <c r="CN59" s="325"/>
      <c r="CO59" s="292"/>
      <c r="CP59" s="293"/>
      <c r="CQ59" s="293"/>
    </row>
    <row r="60" spans="1:95" s="13" customFormat="1" ht="15" customHeight="1" x14ac:dyDescent="0.3">
      <c r="A60" s="62"/>
      <c r="B60" s="62" t="s">
        <v>36</v>
      </c>
      <c r="C60" s="62"/>
      <c r="D60" s="343" t="s">
        <v>125</v>
      </c>
      <c r="E60" s="347"/>
      <c r="F60" s="38" t="s">
        <v>88</v>
      </c>
      <c r="G60" s="52" t="s">
        <v>126</v>
      </c>
      <c r="H60" s="46"/>
      <c r="I60" s="38" t="s">
        <v>88</v>
      </c>
      <c r="J60" s="52" t="s">
        <v>126</v>
      </c>
      <c r="K60" s="46"/>
      <c r="L60" s="38" t="s">
        <v>88</v>
      </c>
      <c r="M60" s="52" t="s">
        <v>126</v>
      </c>
      <c r="N60" s="46"/>
      <c r="O60" s="38" t="s">
        <v>88</v>
      </c>
      <c r="P60" s="52" t="s">
        <v>126</v>
      </c>
      <c r="Q60" s="46"/>
      <c r="R60" s="38" t="s">
        <v>83</v>
      </c>
      <c r="S60" s="52" t="s">
        <v>126</v>
      </c>
      <c r="T60" s="46">
        <v>1.0089999999999999</v>
      </c>
      <c r="U60" s="38" t="s">
        <v>88</v>
      </c>
      <c r="V60" s="52" t="s">
        <v>126</v>
      </c>
      <c r="W60" s="46"/>
      <c r="X60" s="38" t="s">
        <v>88</v>
      </c>
      <c r="Y60" s="52" t="s">
        <v>126</v>
      </c>
      <c r="Z60" s="46"/>
      <c r="AA60" s="38" t="s">
        <v>88</v>
      </c>
      <c r="AB60" s="52" t="s">
        <v>126</v>
      </c>
      <c r="AC60" s="46"/>
      <c r="AD60" s="38" t="s">
        <v>88</v>
      </c>
      <c r="AE60" s="52" t="s">
        <v>126</v>
      </c>
      <c r="AF60" s="46"/>
      <c r="AG60" s="38" t="s">
        <v>83</v>
      </c>
      <c r="AH60" s="52" t="s">
        <v>126</v>
      </c>
      <c r="AI60" s="46" t="s">
        <v>127</v>
      </c>
      <c r="AJ60" s="38" t="s">
        <v>83</v>
      </c>
      <c r="AK60" s="52" t="s">
        <v>126</v>
      </c>
      <c r="AL60" s="46" t="s">
        <v>128</v>
      </c>
      <c r="AM60" s="38"/>
      <c r="AN60" s="52" t="s">
        <v>126</v>
      </c>
      <c r="AO60" s="46"/>
      <c r="AP60" s="38"/>
      <c r="AQ60" s="52" t="s">
        <v>126</v>
      </c>
      <c r="AR60" s="46"/>
      <c r="AS60" s="38"/>
      <c r="AT60" s="52" t="s">
        <v>126</v>
      </c>
      <c r="AU60" s="46"/>
      <c r="AV60" s="38"/>
      <c r="AW60" s="52" t="s">
        <v>126</v>
      </c>
      <c r="AX60" s="46"/>
      <c r="AY60" s="38"/>
      <c r="AZ60" s="52" t="s">
        <v>126</v>
      </c>
      <c r="BA60" s="46"/>
      <c r="BB60" s="38"/>
      <c r="BC60" s="52" t="s">
        <v>126</v>
      </c>
      <c r="BD60" s="46"/>
      <c r="BE60" s="38"/>
      <c r="BF60" s="52" t="s">
        <v>126</v>
      </c>
      <c r="BG60" s="46"/>
      <c r="BH60" s="38"/>
      <c r="BI60" s="52" t="s">
        <v>126</v>
      </c>
      <c r="BJ60" s="46"/>
      <c r="BK60" s="38"/>
      <c r="BL60" s="52" t="s">
        <v>126</v>
      </c>
      <c r="BM60" s="46"/>
      <c r="BN60" s="38"/>
      <c r="BO60" s="52" t="s">
        <v>126</v>
      </c>
      <c r="BP60" s="46"/>
      <c r="BQ60" s="38"/>
      <c r="BR60" s="52" t="s">
        <v>126</v>
      </c>
      <c r="BS60" s="46"/>
      <c r="BT60" s="38"/>
      <c r="BU60" s="52" t="s">
        <v>126</v>
      </c>
      <c r="BV60" s="46"/>
      <c r="BW60" s="38"/>
      <c r="BX60" s="52" t="s">
        <v>126</v>
      </c>
      <c r="BY60" s="46"/>
      <c r="BZ60" s="38"/>
      <c r="CA60" s="52" t="s">
        <v>126</v>
      </c>
      <c r="CB60" s="46"/>
      <c r="CC60" s="38"/>
      <c r="CD60" s="52" t="s">
        <v>126</v>
      </c>
      <c r="CE60" s="46"/>
      <c r="CF60" s="38"/>
      <c r="CG60" s="52" t="s">
        <v>126</v>
      </c>
      <c r="CH60" s="46"/>
      <c r="CI60" s="38"/>
      <c r="CJ60" s="52" t="s">
        <v>126</v>
      </c>
      <c r="CK60" s="46"/>
      <c r="CL60" s="38"/>
      <c r="CM60" s="52" t="s">
        <v>126</v>
      </c>
      <c r="CN60" s="46"/>
      <c r="CO60" s="37"/>
      <c r="CP60" s="52" t="s">
        <v>126</v>
      </c>
      <c r="CQ60" s="46"/>
    </row>
    <row r="61" spans="1:95" s="13" customFormat="1" ht="15" customHeight="1" x14ac:dyDescent="0.3">
      <c r="A61" s="62"/>
      <c r="B61" s="62" t="s">
        <v>36</v>
      </c>
      <c r="C61" s="62"/>
      <c r="D61" s="345" t="s">
        <v>129</v>
      </c>
      <c r="E61" s="346"/>
      <c r="F61" s="38" t="s">
        <v>88</v>
      </c>
      <c r="G61" s="52" t="s">
        <v>126</v>
      </c>
      <c r="H61" s="46"/>
      <c r="I61" s="38" t="s">
        <v>88</v>
      </c>
      <c r="J61" s="52" t="s">
        <v>126</v>
      </c>
      <c r="K61" s="46"/>
      <c r="L61" s="38" t="s">
        <v>88</v>
      </c>
      <c r="M61" s="52" t="s">
        <v>126</v>
      </c>
      <c r="N61" s="46"/>
      <c r="O61" s="38" t="s">
        <v>88</v>
      </c>
      <c r="P61" s="52" t="s">
        <v>126</v>
      </c>
      <c r="Q61" s="46"/>
      <c r="R61" s="38" t="s">
        <v>88</v>
      </c>
      <c r="S61" s="52" t="s">
        <v>126</v>
      </c>
      <c r="T61" s="46"/>
      <c r="U61" s="38" t="s">
        <v>88</v>
      </c>
      <c r="V61" s="52" t="s">
        <v>126</v>
      </c>
      <c r="W61" s="46"/>
      <c r="X61" s="38" t="s">
        <v>88</v>
      </c>
      <c r="Y61" s="52" t="s">
        <v>126</v>
      </c>
      <c r="Z61" s="46"/>
      <c r="AA61" s="38" t="s">
        <v>88</v>
      </c>
      <c r="AB61" s="52" t="s">
        <v>126</v>
      </c>
      <c r="AC61" s="46"/>
      <c r="AD61" s="38" t="s">
        <v>88</v>
      </c>
      <c r="AE61" s="52" t="s">
        <v>126</v>
      </c>
      <c r="AF61" s="46"/>
      <c r="AG61" s="38" t="s">
        <v>83</v>
      </c>
      <c r="AH61" s="52" t="s">
        <v>126</v>
      </c>
      <c r="AI61" s="184" t="s">
        <v>130</v>
      </c>
      <c r="AJ61" s="38" t="s">
        <v>83</v>
      </c>
      <c r="AK61" s="52" t="s">
        <v>126</v>
      </c>
      <c r="AL61" s="184" t="s">
        <v>131</v>
      </c>
      <c r="AM61" s="38"/>
      <c r="AN61" s="52" t="s">
        <v>126</v>
      </c>
      <c r="AO61" s="46"/>
      <c r="AP61" s="38"/>
      <c r="AQ61" s="52" t="s">
        <v>126</v>
      </c>
      <c r="AR61" s="46"/>
      <c r="AS61" s="38"/>
      <c r="AT61" s="52" t="s">
        <v>126</v>
      </c>
      <c r="AU61" s="46"/>
      <c r="AV61" s="38"/>
      <c r="AW61" s="52" t="s">
        <v>126</v>
      </c>
      <c r="AX61" s="46"/>
      <c r="AY61" s="38"/>
      <c r="AZ61" s="52" t="s">
        <v>126</v>
      </c>
      <c r="BA61" s="46"/>
      <c r="BB61" s="38"/>
      <c r="BC61" s="52" t="s">
        <v>126</v>
      </c>
      <c r="BD61" s="46"/>
      <c r="BE61" s="38"/>
      <c r="BF61" s="52" t="s">
        <v>126</v>
      </c>
      <c r="BG61" s="46"/>
      <c r="BH61" s="38"/>
      <c r="BI61" s="52" t="s">
        <v>126</v>
      </c>
      <c r="BJ61" s="46"/>
      <c r="BK61" s="38"/>
      <c r="BL61" s="52" t="s">
        <v>126</v>
      </c>
      <c r="BM61" s="46"/>
      <c r="BN61" s="38"/>
      <c r="BO61" s="52" t="s">
        <v>126</v>
      </c>
      <c r="BP61" s="46"/>
      <c r="BQ61" s="38"/>
      <c r="BR61" s="52" t="s">
        <v>126</v>
      </c>
      <c r="BS61" s="46"/>
      <c r="BT61" s="38"/>
      <c r="BU61" s="52" t="s">
        <v>126</v>
      </c>
      <c r="BV61" s="46"/>
      <c r="BW61" s="38"/>
      <c r="BX61" s="52" t="s">
        <v>126</v>
      </c>
      <c r="BY61" s="46"/>
      <c r="BZ61" s="38"/>
      <c r="CA61" s="52" t="s">
        <v>126</v>
      </c>
      <c r="CB61" s="46"/>
      <c r="CC61" s="38"/>
      <c r="CD61" s="52" t="s">
        <v>126</v>
      </c>
      <c r="CE61" s="46"/>
      <c r="CF61" s="38"/>
      <c r="CG61" s="52" t="s">
        <v>126</v>
      </c>
      <c r="CH61" s="46"/>
      <c r="CI61" s="38"/>
      <c r="CJ61" s="52" t="s">
        <v>126</v>
      </c>
      <c r="CK61" s="46"/>
      <c r="CL61" s="38"/>
      <c r="CM61" s="52" t="s">
        <v>126</v>
      </c>
      <c r="CN61" s="46"/>
      <c r="CO61" s="37"/>
      <c r="CP61" s="52" t="s">
        <v>126</v>
      </c>
      <c r="CQ61" s="46"/>
    </row>
    <row r="62" spans="1:95" s="13" customFormat="1" ht="15" customHeight="1" x14ac:dyDescent="0.3">
      <c r="A62" s="62"/>
      <c r="B62" s="62" t="s">
        <v>36</v>
      </c>
      <c r="C62" s="62"/>
      <c r="D62" s="350" t="s">
        <v>132</v>
      </c>
      <c r="E62" s="351"/>
      <c r="F62" s="319" t="s">
        <v>88</v>
      </c>
      <c r="G62" s="320"/>
      <c r="H62" s="321"/>
      <c r="I62" s="319" t="s">
        <v>88</v>
      </c>
      <c r="J62" s="320"/>
      <c r="K62" s="321"/>
      <c r="L62" s="319" t="s">
        <v>88</v>
      </c>
      <c r="M62" s="320"/>
      <c r="N62" s="321"/>
      <c r="O62" s="319" t="s">
        <v>88</v>
      </c>
      <c r="P62" s="320"/>
      <c r="Q62" s="321"/>
      <c r="R62" s="319" t="s">
        <v>88</v>
      </c>
      <c r="S62" s="320"/>
      <c r="T62" s="321"/>
      <c r="U62" s="319" t="s">
        <v>88</v>
      </c>
      <c r="V62" s="320"/>
      <c r="W62" s="321"/>
      <c r="X62" s="319" t="s">
        <v>88</v>
      </c>
      <c r="Y62" s="320"/>
      <c r="Z62" s="321"/>
      <c r="AA62" s="319" t="s">
        <v>83</v>
      </c>
      <c r="AB62" s="320"/>
      <c r="AC62" s="321"/>
      <c r="AD62" s="319" t="s">
        <v>88</v>
      </c>
      <c r="AE62" s="320"/>
      <c r="AF62" s="321"/>
      <c r="AG62" s="319" t="s">
        <v>88</v>
      </c>
      <c r="AH62" s="320"/>
      <c r="AI62" s="321"/>
      <c r="AJ62" s="319" t="s">
        <v>88</v>
      </c>
      <c r="AK62" s="320"/>
      <c r="AL62" s="321"/>
      <c r="AM62" s="319"/>
      <c r="AN62" s="320"/>
      <c r="AO62" s="321"/>
      <c r="AP62" s="319"/>
      <c r="AQ62" s="320"/>
      <c r="AR62" s="321"/>
      <c r="AS62" s="319"/>
      <c r="AT62" s="320"/>
      <c r="AU62" s="321"/>
      <c r="AV62" s="319"/>
      <c r="AW62" s="320"/>
      <c r="AX62" s="321"/>
      <c r="AY62" s="319"/>
      <c r="AZ62" s="320"/>
      <c r="BA62" s="321"/>
      <c r="BB62" s="319"/>
      <c r="BC62" s="320"/>
      <c r="BD62" s="321"/>
      <c r="BE62" s="319"/>
      <c r="BF62" s="320"/>
      <c r="BG62" s="321"/>
      <c r="BH62" s="319"/>
      <c r="BI62" s="320"/>
      <c r="BJ62" s="321"/>
      <c r="BK62" s="319"/>
      <c r="BL62" s="320"/>
      <c r="BM62" s="321"/>
      <c r="BN62" s="319"/>
      <c r="BO62" s="320"/>
      <c r="BP62" s="321"/>
      <c r="BQ62" s="319"/>
      <c r="BR62" s="320"/>
      <c r="BS62" s="321"/>
      <c r="BT62" s="319"/>
      <c r="BU62" s="320"/>
      <c r="BV62" s="321"/>
      <c r="BW62" s="319"/>
      <c r="BX62" s="320"/>
      <c r="BY62" s="321"/>
      <c r="BZ62" s="319"/>
      <c r="CA62" s="320"/>
      <c r="CB62" s="321"/>
      <c r="CC62" s="319"/>
      <c r="CD62" s="320"/>
      <c r="CE62" s="321"/>
      <c r="CF62" s="319"/>
      <c r="CG62" s="320"/>
      <c r="CH62" s="321"/>
      <c r="CI62" s="319"/>
      <c r="CJ62" s="320"/>
      <c r="CK62" s="321"/>
      <c r="CL62" s="319"/>
      <c r="CM62" s="320"/>
      <c r="CN62" s="321"/>
      <c r="CO62" s="319"/>
      <c r="CP62" s="320"/>
      <c r="CQ62" s="320"/>
    </row>
    <row r="63" spans="1:95" s="13" customFormat="1" ht="15" customHeight="1" x14ac:dyDescent="0.3">
      <c r="A63" s="62"/>
      <c r="B63" s="62" t="s">
        <v>36</v>
      </c>
      <c r="C63" s="62"/>
      <c r="D63" s="345" t="s">
        <v>133</v>
      </c>
      <c r="E63" s="346"/>
      <c r="F63" s="38" t="s">
        <v>88</v>
      </c>
      <c r="G63" s="53" t="s">
        <v>134</v>
      </c>
      <c r="H63" s="47"/>
      <c r="I63" s="38" t="s">
        <v>88</v>
      </c>
      <c r="J63" s="53" t="s">
        <v>134</v>
      </c>
      <c r="K63" s="47"/>
      <c r="L63" s="38" t="s">
        <v>88</v>
      </c>
      <c r="M63" s="53" t="s">
        <v>134</v>
      </c>
      <c r="N63" s="47"/>
      <c r="O63" s="38" t="s">
        <v>88</v>
      </c>
      <c r="P63" s="53" t="s">
        <v>134</v>
      </c>
      <c r="Q63" s="47"/>
      <c r="R63" s="38" t="s">
        <v>88</v>
      </c>
      <c r="S63" s="53" t="s">
        <v>134</v>
      </c>
      <c r="T63" s="47"/>
      <c r="U63" s="38" t="s">
        <v>88</v>
      </c>
      <c r="V63" s="53" t="s">
        <v>134</v>
      </c>
      <c r="W63" s="47"/>
      <c r="X63" s="38" t="s">
        <v>88</v>
      </c>
      <c r="Y63" s="53" t="s">
        <v>134</v>
      </c>
      <c r="Z63" s="47"/>
      <c r="AA63" s="38" t="s">
        <v>88</v>
      </c>
      <c r="AB63" s="53" t="s">
        <v>134</v>
      </c>
      <c r="AC63" s="47"/>
      <c r="AD63" s="38" t="s">
        <v>88</v>
      </c>
      <c r="AE63" s="53" t="s">
        <v>134</v>
      </c>
      <c r="AF63" s="47"/>
      <c r="AG63" s="38" t="s">
        <v>88</v>
      </c>
      <c r="AH63" s="53" t="s">
        <v>134</v>
      </c>
      <c r="AI63" s="47"/>
      <c r="AJ63" s="38" t="s">
        <v>88</v>
      </c>
      <c r="AK63" s="53" t="s">
        <v>134</v>
      </c>
      <c r="AL63" s="47"/>
      <c r="AM63" s="38"/>
      <c r="AN63" s="53" t="s">
        <v>134</v>
      </c>
      <c r="AO63" s="47"/>
      <c r="AP63" s="38"/>
      <c r="AQ63" s="53" t="s">
        <v>134</v>
      </c>
      <c r="AR63" s="47"/>
      <c r="AS63" s="38"/>
      <c r="AT63" s="53" t="s">
        <v>134</v>
      </c>
      <c r="AU63" s="47"/>
      <c r="AV63" s="38"/>
      <c r="AW63" s="53" t="s">
        <v>134</v>
      </c>
      <c r="AX63" s="47"/>
      <c r="AY63" s="38"/>
      <c r="AZ63" s="53" t="s">
        <v>134</v>
      </c>
      <c r="BA63" s="47"/>
      <c r="BB63" s="38"/>
      <c r="BC63" s="53" t="s">
        <v>134</v>
      </c>
      <c r="BD63" s="47"/>
      <c r="BE63" s="38"/>
      <c r="BF63" s="53" t="s">
        <v>134</v>
      </c>
      <c r="BG63" s="47"/>
      <c r="BH63" s="38"/>
      <c r="BI63" s="53" t="s">
        <v>134</v>
      </c>
      <c r="BJ63" s="47"/>
      <c r="BK63" s="38"/>
      <c r="BL63" s="53" t="s">
        <v>134</v>
      </c>
      <c r="BM63" s="47"/>
      <c r="BN63" s="38"/>
      <c r="BO63" s="53" t="s">
        <v>134</v>
      </c>
      <c r="BP63" s="47"/>
      <c r="BQ63" s="38"/>
      <c r="BR63" s="53" t="s">
        <v>134</v>
      </c>
      <c r="BS63" s="47"/>
      <c r="BT63" s="38"/>
      <c r="BU63" s="53" t="s">
        <v>134</v>
      </c>
      <c r="BV63" s="47"/>
      <c r="BW63" s="38"/>
      <c r="BX63" s="53" t="s">
        <v>134</v>
      </c>
      <c r="BY63" s="47"/>
      <c r="BZ63" s="38"/>
      <c r="CA63" s="53" t="s">
        <v>134</v>
      </c>
      <c r="CB63" s="47"/>
      <c r="CC63" s="38"/>
      <c r="CD63" s="53" t="s">
        <v>134</v>
      </c>
      <c r="CE63" s="47"/>
      <c r="CF63" s="38"/>
      <c r="CG63" s="53" t="s">
        <v>134</v>
      </c>
      <c r="CH63" s="47"/>
      <c r="CI63" s="38"/>
      <c r="CJ63" s="53" t="s">
        <v>134</v>
      </c>
      <c r="CK63" s="47"/>
      <c r="CL63" s="38"/>
      <c r="CM63" s="53" t="s">
        <v>134</v>
      </c>
      <c r="CN63" s="47"/>
      <c r="CO63" s="37"/>
      <c r="CP63" s="53" t="s">
        <v>134</v>
      </c>
      <c r="CQ63" s="47"/>
    </row>
    <row r="64" spans="1:95" s="13" customFormat="1" ht="15" customHeight="1" x14ac:dyDescent="0.3">
      <c r="A64" s="62"/>
      <c r="B64" s="62" t="s">
        <v>36</v>
      </c>
      <c r="C64" s="62"/>
      <c r="D64" s="348" t="s">
        <v>135</v>
      </c>
      <c r="E64" s="349"/>
      <c r="F64" s="305" t="str">
        <f>IF(RIGHT(IF(OR(F65="",F66="",F67="",F68="",F69=""),"",IF(CONCATENATE(IF(F65="Yes","C-Statistic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 ",LEFT(IF(OR(F65="",F66="",F67="",F68="",F69=""),"",IF(CONCATENATE(IF(F65="Yes","C-Statistic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",""),IF(F70="Yes",H70,"")))),LEN(IF(OR(F65="",F66="",F67="",F68="",F69=""),"",IF(CONCATENATE(IF(F65="Yes","C-Statistic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f>
        <v xml:space="preserve">C-Statistic </v>
      </c>
      <c r="G64" s="306"/>
      <c r="H64" s="306"/>
      <c r="I64" s="305" t="str">
        <f>IF(RIGHT(IF(OR(I65="",I66="",I67="",I68="",I69=""),"",IF(CONCATENATE(IF(I65="Yes","C-Statistic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 ",LEFT(IF(OR(I65="",I66="",I67="",I68="",I69=""),"",IF(CONCATENATE(IF(I65="Yes","C-Statistic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",""),IF(I70="Yes",K70,"")))),LEN(IF(OR(I65="",I66="",I67="",I68="",I69=""),"",IF(CONCATENATE(IF(I65="Yes","C-Statistic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f>
        <v xml:space="preserve">C-Statistic </v>
      </c>
      <c r="J64" s="306"/>
      <c r="K64" s="306"/>
      <c r="L64" s="305" t="str">
        <f>IF(RIGHT(IF(OR(L65="",L66="",L67="",L68="",L69=""),"",IF(CONCATENATE(IF(L65="Yes","C-Statistic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 ",LEFT(IF(OR(L65="",L66="",L67="",L68="",L69=""),"",IF(CONCATENATE(IF(L65="Yes","C-Statistic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",""),IF(L70="Yes",N70,"")))),LEN(IF(OR(L65="",L66="",L67="",L68="",L69=""),"",IF(CONCATENATE(IF(L65="Yes","C-Statistic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f>
        <v xml:space="preserve">C-Statistic </v>
      </c>
      <c r="M64" s="306"/>
      <c r="N64" s="306"/>
      <c r="O64" s="305" t="str">
        <f>IF(RIGHT(IF(OR(O65="",O66="",O67="",O68="",O69=""),"",IF(CONCATENATE(IF(O65="Yes","C-Statistic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 ",LEFT(IF(OR(O65="",O66="",O67="",O68="",O69=""),"",IF(CONCATENATE(IF(O65="Yes","C-Statistic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",""),IF(O70="Yes",Q70,"")))),LEN(IF(OR(O65="",O66="",O67="",O68="",O69=""),"",IF(CONCATENATE(IF(O65="Yes","C-Statistic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f>
        <v xml:space="preserve">C-Statistic </v>
      </c>
      <c r="P64" s="306"/>
      <c r="Q64" s="306"/>
      <c r="R64" s="305" t="str">
        <f>IF(RIGHT(IF(OR(R65="",R66="",R67="",R68="",R69=""),"",IF(CONCATENATE(IF(R65="Yes","C-Statistic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 ",LEFT(IF(OR(R65="",R66="",R67="",R68="",R69=""),"",IF(CONCATENATE(IF(R65="Yes","C-Statistic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",""),IF(R70="Yes",T70,"")))),LEN(IF(OR(R65="",R66="",R67="",R68="",R69=""),"",IF(CONCATENATE(IF(R65="Yes","C-Statistic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f>
        <v xml:space="preserve">C-Statistic / AUC graph </v>
      </c>
      <c r="S64" s="306"/>
      <c r="T64" s="306"/>
      <c r="U64" s="305" t="str">
        <f>IF(RIGHT(IF(OR(U65="",U66="",U67="",U68="",U69=""),"",IF(CONCATENATE(IF(U65="Yes","C-Statistic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 ",LEFT(IF(OR(U65="",U66="",U67="",U68="",U69=""),"",IF(CONCATENATE(IF(U65="Yes","C-Statistic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",""),IF(U70="Yes",W70,"")))),LEN(IF(OR(U65="",U66="",U67="",U68="",U69=""),"",IF(CONCATENATE(IF(U65="Yes","C-Statistic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f>
        <v xml:space="preserve">C-Statistic / AUC graph </v>
      </c>
      <c r="V64" s="306"/>
      <c r="W64" s="306"/>
      <c r="X64" s="305" t="str">
        <f>IF(RIGHT(IF(OR(X65="",X66="",X67="",X68="",X69=""),"",IF(CONCATENATE(IF(X65="Yes","C-Statistic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 ",LEFT(IF(OR(X65="",X66="",X67="",X68="",X69=""),"",IF(CONCATENATE(IF(X65="Yes","C-Statistic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",""),IF(X70="Yes",Z70,"")))),LEN(IF(OR(X65="",X66="",X67="",X68="",X69=""),"",IF(CONCATENATE(IF(X65="Yes","C-Statistic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f>
        <v xml:space="preserve">C-Statistic </v>
      </c>
      <c r="Y64" s="306"/>
      <c r="Z64" s="306"/>
      <c r="AA64" s="305" t="str">
        <f>IF(RIGHT(IF(OR(AA65="",AA66="",AA67="",AA68="",AA69=""),"",IF(CONCATENATE(IF(AA65="Yes","C-Statistic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 ",LEFT(IF(OR(AA65="",AA66="",AA67="",AA68="",AA69=""),"",IF(CONCATENATE(IF(AA65="Yes","C-Statistic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",""),IF(AA70="Yes",AC70,"")))),LEN(IF(OR(AA65="",AA66="",AA67="",AA68="",AA69=""),"",IF(CONCATENATE(IF(AA65="Yes","C-Statistic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f>
        <v xml:space="preserve">C-Statistic / AUC graph </v>
      </c>
      <c r="AB64" s="306"/>
      <c r="AC64" s="306"/>
      <c r="AD64" s="305" t="str">
        <f>IF(RIGHT(IF(OR(AD65="",AD66="",AD67="",AD68="",AD69=""),"",IF(CONCATENATE(IF(AD65="Yes","C-Statistic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 ",LEFT(IF(OR(AD65="",AD66="",AD67="",AD68="",AD69=""),"",IF(CONCATENATE(IF(AD65="Yes","C-Statistic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",""),IF(AD70="Yes",AF70,"")))),LEN(IF(OR(AD65="",AD66="",AD67="",AD68="",AD69=""),"",IF(CONCATENATE(IF(AD65="Yes","C-Statistic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f>
        <v xml:space="preserve">C-Statistic </v>
      </c>
      <c r="AE64" s="306"/>
      <c r="AF64" s="306"/>
      <c r="AG64" s="305" t="str">
        <f>IF(RIGHT(IF(OR(AG65="",AG66="",AG67="",AG68="",AG69=""),"",IF(CONCATENATE(IF(AG65="Yes","C-Statistic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 ",LEFT(IF(OR(AG65="",AG66="",AG67="",AG68="",AG69=""),"",IF(CONCATENATE(IF(AG65="Yes","C-Statistic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",""),IF(AG70="Yes",AI70,"")))),LEN(IF(OR(AG65="",AG66="",AG67="",AG68="",AG69=""),"",IF(CONCATENATE(IF(AG65="Yes","C-Statistic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f>
        <v xml:space="preserve">C-Statistic / AUC graph </v>
      </c>
      <c r="AH64" s="306"/>
      <c r="AI64" s="306"/>
      <c r="AJ64" s="305" t="str">
        <f>IF(RIGHT(IF(OR(AJ65="",AJ66="",AJ67="",AJ68="",AJ69=""),"",IF(CONCATENATE(IF(AJ65="Yes","C-Statistic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 ",LEFT(IF(OR(AJ65="",AJ66="",AJ67="",AJ68="",AJ69=""),"",IF(CONCATENATE(IF(AJ65="Yes","C-Statistic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",""),IF(AJ70="Yes",AL70,"")))),LEN(IF(OR(AJ65="",AJ66="",AJ67="",AJ68="",AJ69=""),"",IF(CONCATENATE(IF(AJ65="Yes","C-Statistic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f>
        <v xml:space="preserve">C-Statistic / AUC graph </v>
      </c>
      <c r="AK64" s="306"/>
      <c r="AL64" s="306"/>
      <c r="AM64" s="305" t="str">
        <f>IF(RIGHT(IF(OR(AM65="",AM66="",AM67="",AM68="",AM69=""),"",IF(CONCATENATE(IF(AM65="Yes","C-Statistic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 ",LEFT(IF(OR(AM65="",AM66="",AM67="",AM68="",AM69=""),"",IF(CONCATENATE(IF(AM65="Yes","C-Statistic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",""),IF(AM70="Yes",AO70,"")))),LEN(IF(OR(AM65="",AM66="",AM67="",AM68="",AM69=""),"",IF(CONCATENATE(IF(AM65="Yes","C-Statistic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f>
        <v/>
      </c>
      <c r="AN64" s="306"/>
      <c r="AO64" s="306"/>
      <c r="AP64" s="305" t="str">
        <f>IF(RIGHT(IF(OR(AP65="",AP66="",AP67="",AP68="",AP69=""),"",IF(CONCATENATE(IF(AP65="Yes","C-Statistic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 ",LEFT(IF(OR(AP65="",AP66="",AP67="",AP68="",AP69=""),"",IF(CONCATENATE(IF(AP65="Yes","C-Statistic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",""),IF(AP70="Yes",AR70,"")))),LEN(IF(OR(AP65="",AP66="",AP67="",AP68="",AP69=""),"",IF(CONCATENATE(IF(AP65="Yes","C-Statistic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f>
        <v/>
      </c>
      <c r="AQ64" s="306"/>
      <c r="AR64" s="306"/>
      <c r="AS64" s="305" t="str">
        <f>IF(RIGHT(IF(OR(AS65="",AS66="",AS67="",AS68="",AS69=""),"",IF(CONCATENATE(IF(AS65="Yes","C-Statistic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 ",LEFT(IF(OR(AS65="",AS66="",AS67="",AS68="",AS69=""),"",IF(CONCATENATE(IF(AS65="Yes","C-Statistic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",""),IF(AS70="Yes",AU70,"")))),LEN(IF(OR(AS65="",AS66="",AS67="",AS68="",AS69=""),"",IF(CONCATENATE(IF(AS65="Yes","C-Statistic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f>
        <v/>
      </c>
      <c r="AT64" s="306"/>
      <c r="AU64" s="306"/>
      <c r="AV64" s="305" t="str">
        <f>IF(RIGHT(IF(OR(AV65="",AV66="",AV67="",AV68="",AV69=""),"",IF(CONCATENATE(IF(AV65="Yes","C-Statistic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 ",LEFT(IF(OR(AV65="",AV66="",AV67="",AV68="",AV69=""),"",IF(CONCATENATE(IF(AV65="Yes","C-Statistic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",""),IF(AV70="Yes",AX70,"")))),LEN(IF(OR(AV65="",AV66="",AV67="",AV68="",AV69=""),"",IF(CONCATENATE(IF(AV65="Yes","C-Statistic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f>
        <v/>
      </c>
      <c r="AW64" s="306"/>
      <c r="AX64" s="306"/>
      <c r="AY64" s="305" t="str">
        <f>IF(RIGHT(IF(OR(AY65="",AY66="",AY67="",AY68="",AY69=""),"",IF(CONCATENATE(IF(AY65="Yes","C-Statistic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 ",LEFT(IF(OR(AY65="",AY66="",AY67="",AY68="",AY69=""),"",IF(CONCATENATE(IF(AY65="Yes","C-Statistic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",""),IF(AY70="Yes",BA70,"")))),LEN(IF(OR(AY65="",AY66="",AY67="",AY68="",AY69=""),"",IF(CONCATENATE(IF(AY65="Yes","C-Statistic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f>
        <v/>
      </c>
      <c r="AZ64" s="306"/>
      <c r="BA64" s="306"/>
      <c r="BB64" s="305" t="str">
        <f>IF(RIGHT(IF(OR(BB65="",BB66="",BB67="",BB68="",BB69=""),"",IF(CONCATENATE(IF(BB65="Yes","C-Statistic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 ",LEFT(IF(OR(BB65="",BB66="",BB67="",BB68="",BB69=""),"",IF(CONCATENATE(IF(BB65="Yes","C-Statistic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",""),IF(BB70="Yes",BD70,"")))),LEN(IF(OR(BB65="",BB66="",BB67="",BB68="",BB69=""),"",IF(CONCATENATE(IF(BB65="Yes","C-Statistic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f>
        <v/>
      </c>
      <c r="BC64" s="306"/>
      <c r="BD64" s="306"/>
      <c r="BE64" s="305" t="str">
        <f>IF(RIGHT(IF(OR(BE65="",BE66="",BE67="",BE68="",BE69=""),"",IF(CONCATENATE(IF(BE65="Yes","C-Statistic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 ",LEFT(IF(OR(BE65="",BE66="",BE67="",BE68="",BE69=""),"",IF(CONCATENATE(IF(BE65="Yes","C-Statistic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",""),IF(BE70="Yes",BG70,"")))),LEN(IF(OR(BE65="",BE66="",BE67="",BE68="",BE69=""),"",IF(CONCATENATE(IF(BE65="Yes","C-Statistic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f>
        <v/>
      </c>
      <c r="BF64" s="306"/>
      <c r="BG64" s="306"/>
      <c r="BH64" s="305" t="str">
        <f>IF(RIGHT(IF(OR(BH65="",BH66="",BH67="",BH68="",BH69=""),"",IF(CONCATENATE(IF(BH65="Yes","C-Statistic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 ",LEFT(IF(OR(BH65="",BH66="",BH67="",BH68="",BH69=""),"",IF(CONCATENATE(IF(BH65="Yes","C-Statistic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",""),IF(BH70="Yes",BJ70,"")))),LEN(IF(OR(BH65="",BH66="",BH67="",BH68="",BH69=""),"",IF(CONCATENATE(IF(BH65="Yes","C-Statistic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f>
        <v/>
      </c>
      <c r="BI64" s="306"/>
      <c r="BJ64" s="306"/>
      <c r="BK64" s="305" t="str">
        <f>IF(RIGHT(IF(OR(BK65="",BK66="",BK67="",BK68="",BK69=""),"",IF(CONCATENATE(IF(BK65="Yes","C-Statistic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 ",LEFT(IF(OR(BK65="",BK66="",BK67="",BK68="",BK69=""),"",IF(CONCATENATE(IF(BK65="Yes","C-Statistic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",""),IF(BK70="Yes",BM70,"")))),LEN(IF(OR(BK65="",BK66="",BK67="",BK68="",BK69=""),"",IF(CONCATENATE(IF(BK65="Yes","C-Statistic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f>
        <v/>
      </c>
      <c r="BL64" s="306"/>
      <c r="BM64" s="306"/>
      <c r="BN64" s="305" t="str">
        <f>IF(RIGHT(IF(OR(BN65="",BN66="",BN67="",BN68="",BN69=""),"",IF(CONCATENATE(IF(BN65="Yes","C-Statistic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 ",LEFT(IF(OR(BN65="",BN66="",BN67="",BN68="",BN69=""),"",IF(CONCATENATE(IF(BN65="Yes","C-Statistic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",""),IF(BN70="Yes",BP70,"")))),LEN(IF(OR(BN65="",BN66="",BN67="",BN68="",BN69=""),"",IF(CONCATENATE(IF(BN65="Yes","C-Statistic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f>
        <v/>
      </c>
      <c r="BO64" s="306"/>
      <c r="BP64" s="306"/>
      <c r="BQ64" s="305" t="str">
        <f>IF(RIGHT(IF(OR(BQ65="",BQ66="",BQ67="",BQ68="",BQ69=""),"",IF(CONCATENATE(IF(BQ65="Yes","C-Statistic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 ",LEFT(IF(OR(BQ65="",BQ66="",BQ67="",BQ68="",BQ69=""),"",IF(CONCATENATE(IF(BQ65="Yes","C-Statistic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",""),IF(BQ70="Yes",BS70,"")))),LEN(IF(OR(BQ65="",BQ66="",BQ67="",BQ68="",BQ69=""),"",IF(CONCATENATE(IF(BQ65="Yes","C-Statistic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f>
        <v/>
      </c>
      <c r="BR64" s="306"/>
      <c r="BS64" s="306"/>
      <c r="BT64" s="305" t="str">
        <f>IF(RIGHT(IF(OR(BT65="",BT66="",BT67="",BT68="",BT69=""),"",IF(CONCATENATE(IF(BT65="Yes","C-Statistic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 ",LEFT(IF(OR(BT65="",BT66="",BT67="",BT68="",BT69=""),"",IF(CONCATENATE(IF(BT65="Yes","C-Statistic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",""),IF(BT70="Yes",BV70,"")))),LEN(IF(OR(BT65="",BT66="",BT67="",BT68="",BT69=""),"",IF(CONCATENATE(IF(BT65="Yes","C-Statistic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f>
        <v/>
      </c>
      <c r="BU64" s="306"/>
      <c r="BV64" s="306"/>
      <c r="BW64" s="305" t="str">
        <f>IF(RIGHT(IF(OR(BW65="",BW66="",BW67="",BW68="",BW69=""),"",IF(CONCATENATE(IF(BW65="Yes","C-Statistic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 ",LEFT(IF(OR(BW65="",BW66="",BW67="",BW68="",BW69=""),"",IF(CONCATENATE(IF(BW65="Yes","C-Statistic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",""),IF(BW70="Yes",BY70,"")))),LEN(IF(OR(BW65="",BW66="",BW67="",BW68="",BW69=""),"",IF(CONCATENATE(IF(BW65="Yes","C-Statistic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f>
        <v/>
      </c>
      <c r="BX64" s="306"/>
      <c r="BY64" s="306"/>
      <c r="BZ64" s="305" t="str">
        <f>IF(RIGHT(IF(OR(BZ65="",BZ66="",BZ67="",BZ68="",BZ69=""),"",IF(CONCATENATE(IF(BZ65="Yes","C-Statistic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 ",LEFT(IF(OR(BZ65="",BZ66="",BZ67="",BZ68="",BZ69=""),"",IF(CONCATENATE(IF(BZ65="Yes","C-Statistic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",""),IF(BZ70="Yes",CB70,"")))),LEN(IF(OR(BZ65="",BZ66="",BZ67="",BZ68="",BZ69=""),"",IF(CONCATENATE(IF(BZ65="Yes","C-Statistic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f>
        <v/>
      </c>
      <c r="CA64" s="306"/>
      <c r="CB64" s="306"/>
      <c r="CC64" s="305" t="str">
        <f>IF(RIGHT(IF(OR(CC65="",CC66="",CC67="",CC68="",CC69=""),"",IF(CONCATENATE(IF(CC65="Yes","C-Statistic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 ",LEFT(IF(OR(CC65="",CC66="",CC67="",CC68="",CC69=""),"",IF(CONCATENATE(IF(CC65="Yes","C-Statistic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",""),IF(CC70="Yes",CE70,"")))),LEN(IF(OR(CC65="",CC66="",CC67="",CC68="",CC69=""),"",IF(CONCATENATE(IF(CC65="Yes","C-Statistic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f>
        <v/>
      </c>
      <c r="CD64" s="306"/>
      <c r="CE64" s="306"/>
      <c r="CF64" s="305" t="str">
        <f>IF(RIGHT(IF(OR(CF65="",CF66="",CF67="",CF68="",CF69=""),"",IF(CONCATENATE(IF(CF65="Yes","C-Statistic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 ",LEFT(IF(OR(CF65="",CF66="",CF67="",CF68="",CF69=""),"",IF(CONCATENATE(IF(CF65="Yes","C-Statistic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",""),IF(CF70="Yes",CH70,"")))),LEN(IF(OR(CF65="",CF66="",CF67="",CF68="",CF69=""),"",IF(CONCATENATE(IF(CF65="Yes","C-Statistic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f>
        <v/>
      </c>
      <c r="CG64" s="306"/>
      <c r="CH64" s="306"/>
      <c r="CI64" s="305" t="str">
        <f>IF(RIGHT(IF(OR(CI65="",CI66="",CI67="",CI68="",CI69=""),"",IF(CONCATENATE(IF(CI65="Yes","C-Statistic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 ",LEFT(IF(OR(CI65="",CI66="",CI67="",CI68="",CI69=""),"",IF(CONCATENATE(IF(CI65="Yes","C-Statistic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",""),IF(CI70="Yes",CK70,"")))),LEN(IF(OR(CI65="",CI66="",CI67="",CI68="",CI69=""),"",IF(CONCATENATE(IF(CI65="Yes","C-Statistic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f>
        <v/>
      </c>
      <c r="CJ64" s="306"/>
      <c r="CK64" s="306"/>
      <c r="CL64" s="305" t="str">
        <f>IF(RIGHT(IF(OR(CL65="",CL66="",CL67="",CL68="",CL69=""),"",IF(CONCATENATE(IF(CL65="Yes","C-Statistic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 ",LEFT(IF(OR(CL65="",CL66="",CL67="",CL68="",CL69=""),"",IF(CONCATENATE(IF(CL65="Yes","C-Statistic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",""),IF(CL70="Yes",CN70,"")))),LEN(IF(OR(CL65="",CL66="",CL67="",CL68="",CL69=""),"",IF(CONCATENATE(IF(CL65="Yes","C-Statistic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f>
        <v/>
      </c>
      <c r="CM64" s="306"/>
      <c r="CN64" s="306"/>
      <c r="CO64" s="305" t="str">
        <f>IF(RIGHT(IF(OR(CO65="",CO66="",CO67="",CO68="",CO69=""),"",IF(CONCATENATE(IF(CO65="Yes","C-Statistic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 ",LEFT(IF(OR(CO65="",CO66="",CO67="",CO68="",CO69=""),"",IF(CONCATENATE(IF(CO65="Yes","C-Statistic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",""),IF(CO70="Yes",CQ70,"")))),LEN(IF(OR(CO65="",CO66="",CO67="",CO68="",CO69=""),"",IF(CONCATENATE(IF(CO65="Yes","C-Statistic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f>
        <v/>
      </c>
      <c r="CP64" s="306"/>
      <c r="CQ64" s="306"/>
    </row>
    <row r="65" spans="1:95" s="13" customFormat="1" ht="15" customHeight="1" x14ac:dyDescent="0.3">
      <c r="A65" s="62"/>
      <c r="B65" s="62" t="s">
        <v>36</v>
      </c>
      <c r="C65" s="62"/>
      <c r="D65" s="343" t="s">
        <v>136</v>
      </c>
      <c r="E65" s="347"/>
      <c r="F65" s="38" t="s">
        <v>83</v>
      </c>
      <c r="G65" s="52" t="s">
        <v>126</v>
      </c>
      <c r="H65" s="46">
        <v>0.76</v>
      </c>
      <c r="I65" s="38" t="s">
        <v>83</v>
      </c>
      <c r="J65" s="52" t="s">
        <v>126</v>
      </c>
      <c r="K65" s="46" t="s">
        <v>367</v>
      </c>
      <c r="L65" s="38" t="s">
        <v>83</v>
      </c>
      <c r="M65" s="52" t="s">
        <v>126</v>
      </c>
      <c r="N65" s="46" t="s">
        <v>368</v>
      </c>
      <c r="O65" s="38" t="s">
        <v>83</v>
      </c>
      <c r="P65" s="52" t="s">
        <v>126</v>
      </c>
      <c r="Q65" s="46" t="s">
        <v>418</v>
      </c>
      <c r="R65" s="38" t="s">
        <v>83</v>
      </c>
      <c r="S65" s="52" t="s">
        <v>126</v>
      </c>
      <c r="T65" s="46" t="s">
        <v>419</v>
      </c>
      <c r="U65" s="38" t="s">
        <v>83</v>
      </c>
      <c r="V65" s="52" t="s">
        <v>126</v>
      </c>
      <c r="W65" s="46" t="s">
        <v>415</v>
      </c>
      <c r="X65" s="38" t="s">
        <v>83</v>
      </c>
      <c r="Y65" s="52" t="s">
        <v>126</v>
      </c>
      <c r="Z65" s="46">
        <v>0.873</v>
      </c>
      <c r="AA65" s="38" t="s">
        <v>83</v>
      </c>
      <c r="AB65" s="52" t="s">
        <v>126</v>
      </c>
      <c r="AC65" s="46" t="s">
        <v>416</v>
      </c>
      <c r="AD65" s="38" t="s">
        <v>83</v>
      </c>
      <c r="AE65" s="52" t="s">
        <v>126</v>
      </c>
      <c r="AF65" s="46" t="s">
        <v>417</v>
      </c>
      <c r="AG65" s="38" t="s">
        <v>83</v>
      </c>
      <c r="AH65" s="52" t="s">
        <v>126</v>
      </c>
      <c r="AI65" s="46" t="s">
        <v>137</v>
      </c>
      <c r="AJ65" s="38" t="s">
        <v>83</v>
      </c>
      <c r="AK65" s="52" t="s">
        <v>126</v>
      </c>
      <c r="AL65" s="46" t="s">
        <v>138</v>
      </c>
      <c r="AM65" s="38"/>
      <c r="AN65" s="52" t="s">
        <v>126</v>
      </c>
      <c r="AO65" s="46"/>
      <c r="AP65" s="38"/>
      <c r="AQ65" s="52" t="s">
        <v>126</v>
      </c>
      <c r="AR65" s="46"/>
      <c r="AS65" s="38"/>
      <c r="AT65" s="52" t="s">
        <v>126</v>
      </c>
      <c r="AU65" s="46"/>
      <c r="AV65" s="38"/>
      <c r="AW65" s="52" t="s">
        <v>126</v>
      </c>
      <c r="AX65" s="46"/>
      <c r="AY65" s="38"/>
      <c r="AZ65" s="52" t="s">
        <v>126</v>
      </c>
      <c r="BA65" s="46"/>
      <c r="BB65" s="38"/>
      <c r="BC65" s="52" t="s">
        <v>126</v>
      </c>
      <c r="BD65" s="46"/>
      <c r="BE65" s="38"/>
      <c r="BF65" s="52" t="s">
        <v>126</v>
      </c>
      <c r="BG65" s="46"/>
      <c r="BH65" s="38"/>
      <c r="BI65" s="52" t="s">
        <v>126</v>
      </c>
      <c r="BJ65" s="46"/>
      <c r="BK65" s="38"/>
      <c r="BL65" s="52" t="s">
        <v>126</v>
      </c>
      <c r="BM65" s="46"/>
      <c r="BN65" s="38"/>
      <c r="BO65" s="52" t="s">
        <v>126</v>
      </c>
      <c r="BP65" s="46"/>
      <c r="BQ65" s="38"/>
      <c r="BR65" s="52" t="s">
        <v>126</v>
      </c>
      <c r="BS65" s="46"/>
      <c r="BT65" s="38"/>
      <c r="BU65" s="52" t="s">
        <v>126</v>
      </c>
      <c r="BV65" s="46"/>
      <c r="BW65" s="38"/>
      <c r="BX65" s="52" t="s">
        <v>126</v>
      </c>
      <c r="BY65" s="46"/>
      <c r="BZ65" s="38"/>
      <c r="CA65" s="52" t="s">
        <v>126</v>
      </c>
      <c r="CB65" s="46"/>
      <c r="CC65" s="38"/>
      <c r="CD65" s="52" t="s">
        <v>126</v>
      </c>
      <c r="CE65" s="46"/>
      <c r="CF65" s="38"/>
      <c r="CG65" s="52" t="s">
        <v>126</v>
      </c>
      <c r="CH65" s="46"/>
      <c r="CI65" s="38"/>
      <c r="CJ65" s="52" t="s">
        <v>126</v>
      </c>
      <c r="CK65" s="46"/>
      <c r="CL65" s="38"/>
      <c r="CM65" s="52" t="s">
        <v>126</v>
      </c>
      <c r="CN65" s="46"/>
      <c r="CO65" s="37"/>
      <c r="CP65" s="52" t="s">
        <v>126</v>
      </c>
      <c r="CQ65" s="46"/>
    </row>
    <row r="66" spans="1:95" s="13" customFormat="1" ht="15" customHeight="1" x14ac:dyDescent="0.3">
      <c r="A66" s="62"/>
      <c r="B66" s="62" t="s">
        <v>36</v>
      </c>
      <c r="C66" s="62"/>
      <c r="D66" s="345" t="s">
        <v>139</v>
      </c>
      <c r="E66" s="346"/>
      <c r="F66" s="38" t="s">
        <v>88</v>
      </c>
      <c r="G66" s="52" t="s">
        <v>126</v>
      </c>
      <c r="H66" s="46"/>
      <c r="I66" s="38" t="s">
        <v>88</v>
      </c>
      <c r="J66" s="52" t="s">
        <v>126</v>
      </c>
      <c r="K66" s="46"/>
      <c r="L66" s="38" t="s">
        <v>88</v>
      </c>
      <c r="M66" s="52" t="s">
        <v>126</v>
      </c>
      <c r="N66" s="46"/>
      <c r="O66" s="38" t="s">
        <v>88</v>
      </c>
      <c r="P66" s="52" t="s">
        <v>126</v>
      </c>
      <c r="Q66" s="46"/>
      <c r="R66" s="38" t="s">
        <v>88</v>
      </c>
      <c r="S66" s="52" t="s">
        <v>126</v>
      </c>
      <c r="T66" s="46"/>
      <c r="U66" s="38" t="s">
        <v>88</v>
      </c>
      <c r="V66" s="52" t="s">
        <v>126</v>
      </c>
      <c r="W66" s="46"/>
      <c r="X66" s="38" t="s">
        <v>88</v>
      </c>
      <c r="Y66" s="52" t="s">
        <v>126</v>
      </c>
      <c r="Z66" s="46"/>
      <c r="AA66" s="38" t="s">
        <v>88</v>
      </c>
      <c r="AB66" s="52" t="s">
        <v>126</v>
      </c>
      <c r="AC66" s="46"/>
      <c r="AD66" s="38" t="s">
        <v>88</v>
      </c>
      <c r="AE66" s="52" t="s">
        <v>126</v>
      </c>
      <c r="AF66" s="46"/>
      <c r="AG66" s="38" t="s">
        <v>88</v>
      </c>
      <c r="AH66" s="52" t="s">
        <v>126</v>
      </c>
      <c r="AI66" s="46"/>
      <c r="AJ66" s="38" t="s">
        <v>88</v>
      </c>
      <c r="AK66" s="52" t="s">
        <v>126</v>
      </c>
      <c r="AL66" s="46"/>
      <c r="AM66" s="38"/>
      <c r="AN66" s="52" t="s">
        <v>126</v>
      </c>
      <c r="AO66" s="46"/>
      <c r="AP66" s="38"/>
      <c r="AQ66" s="52" t="s">
        <v>126</v>
      </c>
      <c r="AR66" s="46"/>
      <c r="AS66" s="38"/>
      <c r="AT66" s="52" t="s">
        <v>126</v>
      </c>
      <c r="AU66" s="46"/>
      <c r="AV66" s="38"/>
      <c r="AW66" s="52" t="s">
        <v>126</v>
      </c>
      <c r="AX66" s="46"/>
      <c r="AY66" s="38"/>
      <c r="AZ66" s="52" t="s">
        <v>126</v>
      </c>
      <c r="BA66" s="46"/>
      <c r="BB66" s="38"/>
      <c r="BC66" s="52" t="s">
        <v>126</v>
      </c>
      <c r="BD66" s="46"/>
      <c r="BE66" s="38"/>
      <c r="BF66" s="52" t="s">
        <v>126</v>
      </c>
      <c r="BG66" s="46"/>
      <c r="BH66" s="38"/>
      <c r="BI66" s="52" t="s">
        <v>126</v>
      </c>
      <c r="BJ66" s="46"/>
      <c r="BK66" s="38"/>
      <c r="BL66" s="52" t="s">
        <v>126</v>
      </c>
      <c r="BM66" s="46"/>
      <c r="BN66" s="38"/>
      <c r="BO66" s="52" t="s">
        <v>126</v>
      </c>
      <c r="BP66" s="46"/>
      <c r="BQ66" s="38"/>
      <c r="BR66" s="52" t="s">
        <v>126</v>
      </c>
      <c r="BS66" s="46"/>
      <c r="BT66" s="38"/>
      <c r="BU66" s="52" t="s">
        <v>126</v>
      </c>
      <c r="BV66" s="46"/>
      <c r="BW66" s="38"/>
      <c r="BX66" s="52" t="s">
        <v>126</v>
      </c>
      <c r="BY66" s="46"/>
      <c r="BZ66" s="38"/>
      <c r="CA66" s="52" t="s">
        <v>126</v>
      </c>
      <c r="CB66" s="46"/>
      <c r="CC66" s="38"/>
      <c r="CD66" s="52" t="s">
        <v>126</v>
      </c>
      <c r="CE66" s="46"/>
      <c r="CF66" s="38"/>
      <c r="CG66" s="52" t="s">
        <v>126</v>
      </c>
      <c r="CH66" s="46"/>
      <c r="CI66" s="38"/>
      <c r="CJ66" s="52" t="s">
        <v>126</v>
      </c>
      <c r="CK66" s="46"/>
      <c r="CL66" s="38"/>
      <c r="CM66" s="52" t="s">
        <v>126</v>
      </c>
      <c r="CN66" s="46"/>
      <c r="CO66" s="37"/>
      <c r="CP66" s="52" t="s">
        <v>126</v>
      </c>
      <c r="CQ66" s="46"/>
    </row>
    <row r="67" spans="1:95" s="13" customFormat="1" ht="15" customHeight="1" x14ac:dyDescent="0.3">
      <c r="A67" s="62"/>
      <c r="B67" s="62" t="s">
        <v>36</v>
      </c>
      <c r="C67" s="62"/>
      <c r="D67" s="350" t="s">
        <v>140</v>
      </c>
      <c r="E67" s="351"/>
      <c r="F67" s="322" t="s">
        <v>88</v>
      </c>
      <c r="G67" s="323"/>
      <c r="H67" s="323"/>
      <c r="I67" s="322" t="s">
        <v>88</v>
      </c>
      <c r="J67" s="323"/>
      <c r="K67" s="323"/>
      <c r="L67" s="322" t="s">
        <v>88</v>
      </c>
      <c r="M67" s="323"/>
      <c r="N67" s="323"/>
      <c r="O67" s="322" t="s">
        <v>88</v>
      </c>
      <c r="P67" s="323"/>
      <c r="Q67" s="323"/>
      <c r="R67" s="322" t="s">
        <v>83</v>
      </c>
      <c r="S67" s="323"/>
      <c r="T67" s="323"/>
      <c r="U67" s="322" t="s">
        <v>83</v>
      </c>
      <c r="V67" s="323"/>
      <c r="W67" s="323"/>
      <c r="X67" s="322" t="s">
        <v>88</v>
      </c>
      <c r="Y67" s="323"/>
      <c r="Z67" s="323"/>
      <c r="AA67" s="322" t="s">
        <v>83</v>
      </c>
      <c r="AB67" s="323"/>
      <c r="AC67" s="323"/>
      <c r="AD67" s="322" t="s">
        <v>88</v>
      </c>
      <c r="AE67" s="323"/>
      <c r="AF67" s="323"/>
      <c r="AG67" s="322" t="s">
        <v>83</v>
      </c>
      <c r="AH67" s="323"/>
      <c r="AI67" s="323"/>
      <c r="AJ67" s="322" t="s">
        <v>83</v>
      </c>
      <c r="AK67" s="323"/>
      <c r="AL67" s="323"/>
      <c r="AM67" s="322"/>
      <c r="AN67" s="323"/>
      <c r="AO67" s="323"/>
      <c r="AP67" s="322"/>
      <c r="AQ67" s="323"/>
      <c r="AR67" s="323"/>
      <c r="AS67" s="322"/>
      <c r="AT67" s="323"/>
      <c r="AU67" s="323"/>
      <c r="AV67" s="322"/>
      <c r="AW67" s="323"/>
      <c r="AX67" s="323"/>
      <c r="AY67" s="322"/>
      <c r="AZ67" s="323"/>
      <c r="BA67" s="323"/>
      <c r="BB67" s="322"/>
      <c r="BC67" s="323"/>
      <c r="BD67" s="323"/>
      <c r="BE67" s="322"/>
      <c r="BF67" s="323"/>
      <c r="BG67" s="323"/>
      <c r="BH67" s="322"/>
      <c r="BI67" s="323"/>
      <c r="BJ67" s="323"/>
      <c r="BK67" s="322"/>
      <c r="BL67" s="323"/>
      <c r="BM67" s="323"/>
      <c r="BN67" s="322"/>
      <c r="BO67" s="323"/>
      <c r="BP67" s="323"/>
      <c r="BQ67" s="322"/>
      <c r="BR67" s="323"/>
      <c r="BS67" s="323"/>
      <c r="BT67" s="322"/>
      <c r="BU67" s="323"/>
      <c r="BV67" s="323"/>
      <c r="BW67" s="322"/>
      <c r="BX67" s="323"/>
      <c r="BY67" s="323"/>
      <c r="BZ67" s="322"/>
      <c r="CA67" s="323"/>
      <c r="CB67" s="323"/>
      <c r="CC67" s="322"/>
      <c r="CD67" s="323"/>
      <c r="CE67" s="323"/>
      <c r="CF67" s="322"/>
      <c r="CG67" s="323"/>
      <c r="CH67" s="323"/>
      <c r="CI67" s="322"/>
      <c r="CJ67" s="323"/>
      <c r="CK67" s="323"/>
      <c r="CL67" s="322"/>
      <c r="CM67" s="323"/>
      <c r="CN67" s="323"/>
      <c r="CO67" s="322"/>
      <c r="CP67" s="323"/>
      <c r="CQ67" s="323"/>
    </row>
    <row r="68" spans="1:95" s="13" customFormat="1" ht="15" customHeight="1" x14ac:dyDescent="0.3">
      <c r="A68" s="62"/>
      <c r="B68" s="62" t="s">
        <v>36</v>
      </c>
      <c r="C68" s="62"/>
      <c r="D68" s="343" t="s">
        <v>141</v>
      </c>
      <c r="E68" s="344"/>
      <c r="F68" s="288" t="s">
        <v>142</v>
      </c>
      <c r="G68" s="289"/>
      <c r="H68" s="289"/>
      <c r="I68" s="288" t="s">
        <v>142</v>
      </c>
      <c r="J68" s="289"/>
      <c r="K68" s="289"/>
      <c r="L68" s="288" t="s">
        <v>142</v>
      </c>
      <c r="M68" s="289"/>
      <c r="N68" s="289"/>
      <c r="O68" s="288" t="s">
        <v>142</v>
      </c>
      <c r="P68" s="289"/>
      <c r="Q68" s="289"/>
      <c r="R68" s="288" t="s">
        <v>142</v>
      </c>
      <c r="S68" s="289"/>
      <c r="T68" s="289"/>
      <c r="U68" s="288" t="s">
        <v>142</v>
      </c>
      <c r="V68" s="289"/>
      <c r="W68" s="289"/>
      <c r="X68" s="288" t="s">
        <v>142</v>
      </c>
      <c r="Y68" s="289"/>
      <c r="Z68" s="289"/>
      <c r="AA68" s="288" t="s">
        <v>142</v>
      </c>
      <c r="AB68" s="289"/>
      <c r="AC68" s="289"/>
      <c r="AD68" s="288" t="s">
        <v>142</v>
      </c>
      <c r="AE68" s="289"/>
      <c r="AF68" s="289"/>
      <c r="AG68" s="288" t="s">
        <v>142</v>
      </c>
      <c r="AH68" s="289"/>
      <c r="AI68" s="289"/>
      <c r="AJ68" s="288" t="s">
        <v>142</v>
      </c>
      <c r="AK68" s="289"/>
      <c r="AL68" s="289"/>
      <c r="AM68" s="288"/>
      <c r="AN68" s="289"/>
      <c r="AO68" s="289"/>
      <c r="AP68" s="288"/>
      <c r="AQ68" s="289"/>
      <c r="AR68" s="289"/>
      <c r="AS68" s="288"/>
      <c r="AT68" s="289"/>
      <c r="AU68" s="289"/>
      <c r="AV68" s="288"/>
      <c r="AW68" s="289"/>
      <c r="AX68" s="289"/>
      <c r="AY68" s="288"/>
      <c r="AZ68" s="289"/>
      <c r="BA68" s="289"/>
      <c r="BB68" s="288"/>
      <c r="BC68" s="289"/>
      <c r="BD68" s="289"/>
      <c r="BE68" s="288"/>
      <c r="BF68" s="289"/>
      <c r="BG68" s="289"/>
      <c r="BH68" s="288"/>
      <c r="BI68" s="289"/>
      <c r="BJ68" s="289"/>
      <c r="BK68" s="288"/>
      <c r="BL68" s="289"/>
      <c r="BM68" s="289"/>
      <c r="BN68" s="288"/>
      <c r="BO68" s="289"/>
      <c r="BP68" s="289"/>
      <c r="BQ68" s="288"/>
      <c r="BR68" s="289"/>
      <c r="BS68" s="289"/>
      <c r="BT68" s="288"/>
      <c r="BU68" s="289"/>
      <c r="BV68" s="289"/>
      <c r="BW68" s="288"/>
      <c r="BX68" s="289"/>
      <c r="BY68" s="289"/>
      <c r="BZ68" s="288"/>
      <c r="CA68" s="289"/>
      <c r="CB68" s="289"/>
      <c r="CC68" s="288"/>
      <c r="CD68" s="289"/>
      <c r="CE68" s="289"/>
      <c r="CF68" s="288"/>
      <c r="CG68" s="289"/>
      <c r="CH68" s="289"/>
      <c r="CI68" s="288"/>
      <c r="CJ68" s="289"/>
      <c r="CK68" s="289"/>
      <c r="CL68" s="288"/>
      <c r="CM68" s="289"/>
      <c r="CN68" s="289"/>
      <c r="CO68" s="288"/>
      <c r="CP68" s="289"/>
      <c r="CQ68" s="289"/>
    </row>
    <row r="69" spans="1:95" s="13" customFormat="1" ht="15" customHeight="1" x14ac:dyDescent="0.3">
      <c r="A69" s="62"/>
      <c r="B69" s="62" t="s">
        <v>36</v>
      </c>
      <c r="C69" s="62"/>
      <c r="D69" s="343" t="s">
        <v>143</v>
      </c>
      <c r="E69" s="344"/>
      <c r="F69" s="288" t="s">
        <v>142</v>
      </c>
      <c r="G69" s="289"/>
      <c r="H69" s="289"/>
      <c r="I69" s="288" t="s">
        <v>142</v>
      </c>
      <c r="J69" s="289"/>
      <c r="K69" s="289"/>
      <c r="L69" s="288" t="s">
        <v>142</v>
      </c>
      <c r="M69" s="289"/>
      <c r="N69" s="289"/>
      <c r="O69" s="288" t="s">
        <v>142</v>
      </c>
      <c r="P69" s="289"/>
      <c r="Q69" s="289"/>
      <c r="R69" s="288" t="s">
        <v>142</v>
      </c>
      <c r="S69" s="289"/>
      <c r="T69" s="289"/>
      <c r="U69" s="288" t="s">
        <v>142</v>
      </c>
      <c r="V69" s="289"/>
      <c r="W69" s="289"/>
      <c r="X69" s="288" t="s">
        <v>142</v>
      </c>
      <c r="Y69" s="289"/>
      <c r="Z69" s="289"/>
      <c r="AA69" s="288" t="s">
        <v>142</v>
      </c>
      <c r="AB69" s="289"/>
      <c r="AC69" s="289"/>
      <c r="AD69" s="288" t="s">
        <v>142</v>
      </c>
      <c r="AE69" s="289"/>
      <c r="AF69" s="289"/>
      <c r="AG69" s="288" t="s">
        <v>142</v>
      </c>
      <c r="AH69" s="289"/>
      <c r="AI69" s="289"/>
      <c r="AJ69" s="288" t="s">
        <v>142</v>
      </c>
      <c r="AK69" s="289"/>
      <c r="AL69" s="289"/>
      <c r="AM69" s="288"/>
      <c r="AN69" s="289"/>
      <c r="AO69" s="289"/>
      <c r="AP69" s="288"/>
      <c r="AQ69" s="289"/>
      <c r="AR69" s="289"/>
      <c r="AS69" s="288"/>
      <c r="AT69" s="289"/>
      <c r="AU69" s="289"/>
      <c r="AV69" s="288"/>
      <c r="AW69" s="289"/>
      <c r="AX69" s="289"/>
      <c r="AY69" s="288"/>
      <c r="AZ69" s="289"/>
      <c r="BA69" s="289"/>
      <c r="BB69" s="288"/>
      <c r="BC69" s="289"/>
      <c r="BD69" s="289"/>
      <c r="BE69" s="288"/>
      <c r="BF69" s="289"/>
      <c r="BG69" s="289"/>
      <c r="BH69" s="288"/>
      <c r="BI69" s="289"/>
      <c r="BJ69" s="289"/>
      <c r="BK69" s="288"/>
      <c r="BL69" s="289"/>
      <c r="BM69" s="289"/>
      <c r="BN69" s="288"/>
      <c r="BO69" s="289"/>
      <c r="BP69" s="289"/>
      <c r="BQ69" s="288"/>
      <c r="BR69" s="289"/>
      <c r="BS69" s="289"/>
      <c r="BT69" s="288"/>
      <c r="BU69" s="289"/>
      <c r="BV69" s="289"/>
      <c r="BW69" s="288"/>
      <c r="BX69" s="289"/>
      <c r="BY69" s="289"/>
      <c r="BZ69" s="288"/>
      <c r="CA69" s="289"/>
      <c r="CB69" s="289"/>
      <c r="CC69" s="288"/>
      <c r="CD69" s="289"/>
      <c r="CE69" s="289"/>
      <c r="CF69" s="288"/>
      <c r="CG69" s="289"/>
      <c r="CH69" s="289"/>
      <c r="CI69" s="288"/>
      <c r="CJ69" s="289"/>
      <c r="CK69" s="289"/>
      <c r="CL69" s="288"/>
      <c r="CM69" s="289"/>
      <c r="CN69" s="289"/>
      <c r="CO69" s="288"/>
      <c r="CP69" s="289"/>
      <c r="CQ69" s="289"/>
    </row>
    <row r="70" spans="1:95" s="13" customFormat="1" ht="15" customHeight="1" x14ac:dyDescent="0.3">
      <c r="A70" s="62"/>
      <c r="B70" s="62" t="s">
        <v>36</v>
      </c>
      <c r="C70" s="62"/>
      <c r="D70" s="345" t="s">
        <v>144</v>
      </c>
      <c r="E70" s="346"/>
      <c r="F70" s="38" t="s">
        <v>88</v>
      </c>
      <c r="G70" s="53" t="s">
        <v>134</v>
      </c>
      <c r="H70" s="47"/>
      <c r="I70" s="38" t="s">
        <v>88</v>
      </c>
      <c r="J70" s="53" t="s">
        <v>134</v>
      </c>
      <c r="K70" s="47"/>
      <c r="L70" s="38" t="s">
        <v>88</v>
      </c>
      <c r="M70" s="53" t="s">
        <v>134</v>
      </c>
      <c r="N70" s="47"/>
      <c r="O70" s="38" t="s">
        <v>88</v>
      </c>
      <c r="P70" s="53" t="s">
        <v>134</v>
      </c>
      <c r="Q70" s="47"/>
      <c r="R70" s="38" t="s">
        <v>88</v>
      </c>
      <c r="S70" s="53" t="s">
        <v>134</v>
      </c>
      <c r="T70" s="47"/>
      <c r="U70" s="38" t="s">
        <v>88</v>
      </c>
      <c r="V70" s="53" t="s">
        <v>134</v>
      </c>
      <c r="W70" s="47"/>
      <c r="X70" s="38" t="s">
        <v>88</v>
      </c>
      <c r="Y70" s="53" t="s">
        <v>134</v>
      </c>
      <c r="Z70" s="47"/>
      <c r="AA70" s="38" t="s">
        <v>88</v>
      </c>
      <c r="AB70" s="53" t="s">
        <v>134</v>
      </c>
      <c r="AC70" s="47"/>
      <c r="AD70" s="38" t="s">
        <v>88</v>
      </c>
      <c r="AE70" s="53" t="s">
        <v>134</v>
      </c>
      <c r="AF70" s="47"/>
      <c r="AG70" s="38" t="s">
        <v>88</v>
      </c>
      <c r="AH70" s="53" t="s">
        <v>134</v>
      </c>
      <c r="AI70" s="47"/>
      <c r="AJ70" s="38" t="s">
        <v>88</v>
      </c>
      <c r="AK70" s="53" t="s">
        <v>134</v>
      </c>
      <c r="AL70" s="47"/>
      <c r="AM70" s="38"/>
      <c r="AN70" s="53" t="s">
        <v>134</v>
      </c>
      <c r="AO70" s="47"/>
      <c r="AP70" s="38"/>
      <c r="AQ70" s="53" t="s">
        <v>134</v>
      </c>
      <c r="AR70" s="47"/>
      <c r="AS70" s="38"/>
      <c r="AT70" s="53" t="s">
        <v>134</v>
      </c>
      <c r="AU70" s="47"/>
      <c r="AV70" s="38"/>
      <c r="AW70" s="53" t="s">
        <v>134</v>
      </c>
      <c r="AX70" s="47"/>
      <c r="AY70" s="38"/>
      <c r="AZ70" s="53" t="s">
        <v>134</v>
      </c>
      <c r="BA70" s="47"/>
      <c r="BB70" s="38"/>
      <c r="BC70" s="53" t="s">
        <v>134</v>
      </c>
      <c r="BD70" s="47"/>
      <c r="BE70" s="38"/>
      <c r="BF70" s="53" t="s">
        <v>134</v>
      </c>
      <c r="BG70" s="47"/>
      <c r="BH70" s="38"/>
      <c r="BI70" s="53" t="s">
        <v>134</v>
      </c>
      <c r="BJ70" s="47"/>
      <c r="BK70" s="38"/>
      <c r="BL70" s="53" t="s">
        <v>134</v>
      </c>
      <c r="BM70" s="47"/>
      <c r="BN70" s="38"/>
      <c r="BO70" s="53" t="s">
        <v>134</v>
      </c>
      <c r="BP70" s="47"/>
      <c r="BQ70" s="38"/>
      <c r="BR70" s="53" t="s">
        <v>134</v>
      </c>
      <c r="BS70" s="47"/>
      <c r="BT70" s="38"/>
      <c r="BU70" s="53" t="s">
        <v>134</v>
      </c>
      <c r="BV70" s="47"/>
      <c r="BW70" s="38"/>
      <c r="BX70" s="53" t="s">
        <v>134</v>
      </c>
      <c r="BY70" s="47"/>
      <c r="BZ70" s="38"/>
      <c r="CA70" s="53" t="s">
        <v>134</v>
      </c>
      <c r="CB70" s="47"/>
      <c r="CC70" s="38"/>
      <c r="CD70" s="53" t="s">
        <v>134</v>
      </c>
      <c r="CE70" s="47"/>
      <c r="CF70" s="38"/>
      <c r="CG70" s="53" t="s">
        <v>134</v>
      </c>
      <c r="CH70" s="47"/>
      <c r="CI70" s="38"/>
      <c r="CJ70" s="53" t="s">
        <v>134</v>
      </c>
      <c r="CK70" s="47"/>
      <c r="CL70" s="38"/>
      <c r="CM70" s="53" t="s">
        <v>134</v>
      </c>
      <c r="CN70" s="47"/>
      <c r="CO70" s="37"/>
      <c r="CP70" s="53" t="s">
        <v>134</v>
      </c>
      <c r="CQ70" s="47"/>
    </row>
    <row r="71" spans="1:95" s="13" customFormat="1" ht="15" customHeight="1" x14ac:dyDescent="0.3">
      <c r="A71" s="62"/>
      <c r="B71" s="62" t="s">
        <v>36</v>
      </c>
      <c r="C71" s="62"/>
      <c r="D71" s="348" t="s">
        <v>145</v>
      </c>
      <c r="E71" s="349"/>
      <c r="F71" s="305" t="str">
        <f>IF(RIGHT(IF(OR(F72="",F73=""),"",IF(CONCATENATE(IF(F72="Yes","R-squared / ",""),IF(F73="Yes","Brier score / ",""),IF(F74="Yes",H74,""))="","Not evaluated",CONCATENATE(IF(F72="Yes","R-squared / ",""),IF(F73="Yes","Brier score / ",""),IF(F74="Yes",H74,"")))),2)="/ ",LEFT(IF(OR(F72="",F73=""),"",IF(CONCATENATE(IF(F72="Yes","R-squared / ",""),IF(F73="Yes","Brier score / ",""),IF(F74="Yes",H74,""))="","Not evaluated",CONCATENATE(IF(F72="Yes","R-squared / ",""),IF(F73="Yes","Brier score / ",""),IF(F74="Yes",H74,"")))),LEN(IF(OR(F72="",F73=""),"",IF(CONCATENATE(IF(F72="Yes","R-squared / ",""),IF(F73="Yes","Brier score / ",""),IF(F74="Yes",H74,""))="","Not evaluated",CONCATENATE(IF(F72="Yes","R-squared / ",""),IF(F73="Yes","Brier score / ",""),IF(F74="Yes",H74,"")))))-2),IF(OR(F72="",F73=""),"",IF(CONCATENATE(IF(F72="Yes","R-squared / ",""),IF(F73="Yes","Brier score / ",""),IF(F74="Yes",H74,""))="","Not evaluated",CONCATENATE(IF(F72="Yes","R-squared / ",""),IF(F73="Yes","Brier score / ",""),IF(F74="Yes",H74,"")))))</f>
        <v xml:space="preserve">Brier score </v>
      </c>
      <c r="G71" s="306"/>
      <c r="H71" s="306"/>
      <c r="I71" s="305" t="str">
        <f>IF(RIGHT(IF(OR(I72="",I73=""),"",IF(CONCATENATE(IF(I72="Yes","R-squared / ",""),IF(I73="Yes","Brier score / ",""),IF(I74="Yes",K74,""))="","Not evaluated",CONCATENATE(IF(I72="Yes","R-squared / ",""),IF(I73="Yes","Brier score / ",""),IF(I74="Yes",K74,"")))),2)="/ ",LEFT(IF(OR(I72="",I73=""),"",IF(CONCATENATE(IF(I72="Yes","R-squared / ",""),IF(I73="Yes","Brier score / ",""),IF(I74="Yes",K74,""))="","Not evaluated",CONCATENATE(IF(I72="Yes","R-squared / ",""),IF(I73="Yes","Brier score / ",""),IF(I74="Yes",K74,"")))),LEN(IF(OR(I72="",I73=""),"",IF(CONCATENATE(IF(I72="Yes","R-squared / ",""),IF(I73="Yes","Brier score / ",""),IF(I74="Yes",K74,""))="","Not evaluated",CONCATENATE(IF(I72="Yes","R-squared / ",""),IF(I73="Yes","Brier score / ",""),IF(I74="Yes",K74,"")))))-2),IF(OR(I72="",I73=""),"",IF(CONCATENATE(IF(I72="Yes","R-squared / ",""),IF(I73="Yes","Brier score / ",""),IF(I74="Yes",K74,""))="","Not evaluated",CONCATENATE(IF(I72="Yes","R-squared / ",""),IF(I73="Yes","Brier score / ",""),IF(I74="Yes",K74,"")))))</f>
        <v>Not evaluated</v>
      </c>
      <c r="J71" s="306"/>
      <c r="K71" s="306"/>
      <c r="L71" s="305" t="str">
        <f>IF(RIGHT(IF(OR(L72="",L73=""),"",IF(CONCATENATE(IF(L72="Yes","R-squared / ",""),IF(L73="Yes","Brier score / ",""),IF(L74="Yes",N74,""))="","Not evaluated",CONCATENATE(IF(L72="Yes","R-squared / ",""),IF(L73="Yes","Brier score / ",""),IF(L74="Yes",N74,"")))),2)="/ ",LEFT(IF(OR(L72="",L73=""),"",IF(CONCATENATE(IF(L72="Yes","R-squared / ",""),IF(L73="Yes","Brier score / ",""),IF(L74="Yes",N74,""))="","Not evaluated",CONCATENATE(IF(L72="Yes","R-squared / ",""),IF(L73="Yes","Brier score / ",""),IF(L74="Yes",N74,"")))),LEN(IF(OR(L72="",L73=""),"",IF(CONCATENATE(IF(L72="Yes","R-squared / ",""),IF(L73="Yes","Brier score / ",""),IF(L74="Yes",N74,""))="","Not evaluated",CONCATENATE(IF(L72="Yes","R-squared / ",""),IF(L73="Yes","Brier score / ",""),IF(L74="Yes",N74,"")))))-2),IF(OR(L72="",L73=""),"",IF(CONCATENATE(IF(L72="Yes","R-squared / ",""),IF(L73="Yes","Brier score / ",""),IF(L74="Yes",N74,""))="","Not evaluated",CONCATENATE(IF(L72="Yes","R-squared / ",""),IF(L73="Yes","Brier score / ",""),IF(L74="Yes",N74,"")))))</f>
        <v>Not evaluated</v>
      </c>
      <c r="M71" s="306"/>
      <c r="N71" s="306"/>
      <c r="O71" s="305" t="str">
        <f>IF(RIGHT(IF(OR(O72="",O73=""),"",IF(CONCATENATE(IF(O72="Yes","R-squared / ",""),IF(O73="Yes","Brier score / ",""),IF(O74="Yes",Q74,""))="","Not evaluated",CONCATENATE(IF(O72="Yes","R-squared / ",""),IF(O73="Yes","Brier score / ",""),IF(O74="Yes",Q74,"")))),2)="/ ",LEFT(IF(OR(O72="",O73=""),"",IF(CONCATENATE(IF(O72="Yes","R-squared / ",""),IF(O73="Yes","Brier score / ",""),IF(O74="Yes",Q74,""))="","Not evaluated",CONCATENATE(IF(O72="Yes","R-squared / ",""),IF(O73="Yes","Brier score / ",""),IF(O74="Yes",Q74,"")))),LEN(IF(OR(O72="",O73=""),"",IF(CONCATENATE(IF(O72="Yes","R-squared / ",""),IF(O73="Yes","Brier score / ",""),IF(O74="Yes",Q74,""))="","Not evaluated",CONCATENATE(IF(O72="Yes","R-squared / ",""),IF(O73="Yes","Brier score / ",""),IF(O74="Yes",Q74,"")))))-2),IF(OR(O72="",O73=""),"",IF(CONCATENATE(IF(O72="Yes","R-squared / ",""),IF(O73="Yes","Brier score / ",""),IF(O74="Yes",Q74,""))="","Not evaluated",CONCATENATE(IF(O72="Yes","R-squared / ",""),IF(O73="Yes","Brier score / ",""),IF(O74="Yes",Q74,"")))))</f>
        <v xml:space="preserve">Brier score </v>
      </c>
      <c r="P71" s="306"/>
      <c r="Q71" s="306"/>
      <c r="R71" s="305" t="str">
        <f>IF(RIGHT(IF(OR(R72="",R73=""),"",IF(CONCATENATE(IF(R72="Yes","R-squared / ",""),IF(R73="Yes","Brier score / ",""),IF(R74="Yes",T74,""))="","Not evaluated",CONCATENATE(IF(R72="Yes","R-squared / ",""),IF(R73="Yes","Brier score / ",""),IF(R74="Yes",T74,"")))),2)="/ ",LEFT(IF(OR(R72="",R73=""),"",IF(CONCATENATE(IF(R72="Yes","R-squared / ",""),IF(R73="Yes","Brier score / ",""),IF(R74="Yes",T74,""))="","Not evaluated",CONCATENATE(IF(R72="Yes","R-squared / ",""),IF(R73="Yes","Brier score / ",""),IF(R74="Yes",T74,"")))),LEN(IF(OR(R72="",R73=""),"",IF(CONCATENATE(IF(R72="Yes","R-squared / ",""),IF(R73="Yes","Brier score / ",""),IF(R74="Yes",T74,""))="","Not evaluated",CONCATENATE(IF(R72="Yes","R-squared / ",""),IF(R73="Yes","Brier score / ",""),IF(R74="Yes",T74,"")))))-2),IF(OR(R72="",R73=""),"",IF(CONCATENATE(IF(R72="Yes","R-squared / ",""),IF(R73="Yes","Brier score / ",""),IF(R74="Yes",T74,""))="","Not evaluated",CONCATENATE(IF(R72="Yes","R-squared / ",""),IF(R73="Yes","Brier score / ",""),IF(R74="Yes",T74,"")))))</f>
        <v>Not evaluated</v>
      </c>
      <c r="S71" s="306"/>
      <c r="T71" s="306"/>
      <c r="U71" s="305" t="str">
        <f>IF(RIGHT(IF(OR(U72="",U73=""),"",IF(CONCATENATE(IF(U72="Yes","R-squared / ",""),IF(U73="Yes","Brier score / ",""),IF(U74="Yes",W74,""))="","Not evaluated",CONCATENATE(IF(U72="Yes","R-squared / ",""),IF(U73="Yes","Brier score / ",""),IF(U74="Yes",W74,"")))),2)="/ ",LEFT(IF(OR(U72="",U73=""),"",IF(CONCATENATE(IF(U72="Yes","R-squared / ",""),IF(U73="Yes","Brier score / ",""),IF(U74="Yes",W74,""))="","Not evaluated",CONCATENATE(IF(U72="Yes","R-squared / ",""),IF(U73="Yes","Brier score / ",""),IF(U74="Yes",W74,"")))),LEN(IF(OR(U72="",U73=""),"",IF(CONCATENATE(IF(U72="Yes","R-squared / ",""),IF(U73="Yes","Brier score / ",""),IF(U74="Yes",W74,""))="","Not evaluated",CONCATENATE(IF(U72="Yes","R-squared / ",""),IF(U73="Yes","Brier score / ",""),IF(U74="Yes",W74,"")))))-2),IF(OR(U72="",U73=""),"",IF(CONCATENATE(IF(U72="Yes","R-squared / ",""),IF(U73="Yes","Brier score / ",""),IF(U74="Yes",W74,""))="","Not evaluated",CONCATENATE(IF(U72="Yes","R-squared / ",""),IF(U73="Yes","Brier score / ",""),IF(U74="Yes",W74,"")))))</f>
        <v xml:space="preserve">Brier score </v>
      </c>
      <c r="V71" s="306"/>
      <c r="W71" s="306"/>
      <c r="X71" s="305" t="str">
        <f>IF(RIGHT(IF(OR(X72="",X73=""),"",IF(CONCATENATE(IF(X72="Yes","R-squared / ",""),IF(X73="Yes","Brier score / ",""),IF(X74="Yes",Z74,""))="","Not evaluated",CONCATENATE(IF(X72="Yes","R-squared / ",""),IF(X73="Yes","Brier score / ",""),IF(X74="Yes",Z74,"")))),2)="/ ",LEFT(IF(OR(X72="",X73=""),"",IF(CONCATENATE(IF(X72="Yes","R-squared / ",""),IF(X73="Yes","Brier score / ",""),IF(X74="Yes",Z74,""))="","Not evaluated",CONCATENATE(IF(X72="Yes","R-squared / ",""),IF(X73="Yes","Brier score / ",""),IF(X74="Yes",Z74,"")))),LEN(IF(OR(X72="",X73=""),"",IF(CONCATENATE(IF(X72="Yes","R-squared / ",""),IF(X73="Yes","Brier score / ",""),IF(X74="Yes",Z74,""))="","Not evaluated",CONCATENATE(IF(X72="Yes","R-squared / ",""),IF(X73="Yes","Brier score / ",""),IF(X74="Yes",Z74,"")))))-2),IF(OR(X72="",X73=""),"",IF(CONCATENATE(IF(X72="Yes","R-squared / ",""),IF(X73="Yes","Brier score / ",""),IF(X74="Yes",Z74,""))="","Not evaluated",CONCATENATE(IF(X72="Yes","R-squared / ",""),IF(X73="Yes","Brier score / ",""),IF(X74="Yes",Z74,"")))))</f>
        <v>Not evaluated</v>
      </c>
      <c r="Y71" s="306"/>
      <c r="Z71" s="306"/>
      <c r="AA71" s="305" t="str">
        <f>IF(RIGHT(IF(OR(AA72="",AA73=""),"",IF(CONCATENATE(IF(AA72="Yes","R-squared / ",""),IF(AA73="Yes","Brier score / ",""),IF(AA74="Yes",AC74,""))="","Not evaluated",CONCATENATE(IF(AA72="Yes","R-squared / ",""),IF(AA73="Yes","Brier score / ",""),IF(AA74="Yes",AC74,"")))),2)="/ ",LEFT(IF(OR(AA72="",AA73=""),"",IF(CONCATENATE(IF(AA72="Yes","R-squared / ",""),IF(AA73="Yes","Brier score / ",""),IF(AA74="Yes",AC74,""))="","Not evaluated",CONCATENATE(IF(AA72="Yes","R-squared / ",""),IF(AA73="Yes","Brier score / ",""),IF(AA74="Yes",AC74,"")))),LEN(IF(OR(AA72="",AA73=""),"",IF(CONCATENATE(IF(AA72="Yes","R-squared / ",""),IF(AA73="Yes","Brier score / ",""),IF(AA74="Yes",AC74,""))="","Not evaluated",CONCATENATE(IF(AA72="Yes","R-squared / ",""),IF(AA73="Yes","Brier score / ",""),IF(AA74="Yes",AC74,"")))))-2),IF(OR(AA72="",AA73=""),"",IF(CONCATENATE(IF(AA72="Yes","R-squared / ",""),IF(AA73="Yes","Brier score / ",""),IF(AA74="Yes",AC74,""))="","Not evaluated",CONCATENATE(IF(AA72="Yes","R-squared / ",""),IF(AA73="Yes","Brier score / ",""),IF(AA74="Yes",AC74,"")))))</f>
        <v>Not evaluated</v>
      </c>
      <c r="AB71" s="306"/>
      <c r="AC71" s="306"/>
      <c r="AD71" s="305" t="str">
        <f>IF(RIGHT(IF(OR(AD72="",AD73=""),"",IF(CONCATENATE(IF(AD72="Yes","R-squared / ",""),IF(AD73="Yes","Brier score / ",""),IF(AD74="Yes",AF74,""))="","Not evaluated",CONCATENATE(IF(AD72="Yes","R-squared / ",""),IF(AD73="Yes","Brier score / ",""),IF(AD74="Yes",AF74,"")))),2)="/ ",LEFT(IF(OR(AD72="",AD73=""),"",IF(CONCATENATE(IF(AD72="Yes","R-squared / ",""),IF(AD73="Yes","Brier score / ",""),IF(AD74="Yes",AF74,""))="","Not evaluated",CONCATENATE(IF(AD72="Yes","R-squared / ",""),IF(AD73="Yes","Brier score / ",""),IF(AD74="Yes",AF74,"")))),LEN(IF(OR(AD72="",AD73=""),"",IF(CONCATENATE(IF(AD72="Yes","R-squared / ",""),IF(AD73="Yes","Brier score / ",""),IF(AD74="Yes",AF74,""))="","Not evaluated",CONCATENATE(IF(AD72="Yes","R-squared / ",""),IF(AD73="Yes","Brier score / ",""),IF(AD74="Yes",AF74,"")))))-2),IF(OR(AD72="",AD73=""),"",IF(CONCATENATE(IF(AD72="Yes","R-squared / ",""),IF(AD73="Yes","Brier score / ",""),IF(AD74="Yes",AF74,""))="","Not evaluated",CONCATENATE(IF(AD72="Yes","R-squared / ",""),IF(AD73="Yes","Brier score / ",""),IF(AD74="Yes",AF74,"")))))</f>
        <v xml:space="preserve">Brier score </v>
      </c>
      <c r="AE71" s="306"/>
      <c r="AF71" s="306"/>
      <c r="AG71" s="305" t="str">
        <f>IF(RIGHT(IF(OR(AG72="",AG73=""),"",IF(CONCATENATE(IF(AG72="Yes","R-squared / ",""),IF(AG73="Yes","Brier score / ",""),IF(AG74="Yes",AI74,""))="","Not evaluated",CONCATENATE(IF(AG72="Yes","R-squared / ",""),IF(AG73="Yes","Brier score / ",""),IF(AG74="Yes",AI74,"")))),2)="/ ",LEFT(IF(OR(AG72="",AG73=""),"",IF(CONCATENATE(IF(AG72="Yes","R-squared / ",""),IF(AG73="Yes","Brier score / ",""),IF(AG74="Yes",AI74,""))="","Not evaluated",CONCATENATE(IF(AG72="Yes","R-squared / ",""),IF(AG73="Yes","Brier score / ",""),IF(AG74="Yes",AI74,"")))),LEN(IF(OR(AG72="",AG73=""),"",IF(CONCATENATE(IF(AG72="Yes","R-squared / ",""),IF(AG73="Yes","Brier score / ",""),IF(AG74="Yes",AI74,""))="","Not evaluated",CONCATENATE(IF(AG72="Yes","R-squared / ",""),IF(AG73="Yes","Brier score / ",""),IF(AG74="Yes",AI74,"")))))-2),IF(OR(AG72="",AG73=""),"",IF(CONCATENATE(IF(AG72="Yes","R-squared / ",""),IF(AG73="Yes","Brier score / ",""),IF(AG74="Yes",AI74,""))="","Not evaluated",CONCATENATE(IF(AG72="Yes","R-squared / ",""),IF(AG73="Yes","Brier score / ",""),IF(AG74="Yes",AI74,"")))))</f>
        <v xml:space="preserve">Brier score </v>
      </c>
      <c r="AH71" s="306"/>
      <c r="AI71" s="306"/>
      <c r="AJ71" s="305" t="str">
        <f>IF(RIGHT(IF(OR(AJ72="",AJ73=""),"",IF(CONCATENATE(IF(AJ72="Yes","R-squared / ",""),IF(AJ73="Yes","Brier score / ",""),IF(AJ74="Yes",AL74,""))="","Not evaluated",CONCATENATE(IF(AJ72="Yes","R-squared / ",""),IF(AJ73="Yes","Brier score / ",""),IF(AJ74="Yes",AL74,"")))),2)="/ ",LEFT(IF(OR(AJ72="",AJ73=""),"",IF(CONCATENATE(IF(AJ72="Yes","R-squared / ",""),IF(AJ73="Yes","Brier score / ",""),IF(AJ74="Yes",AL74,""))="","Not evaluated",CONCATENATE(IF(AJ72="Yes","R-squared / ",""),IF(AJ73="Yes","Brier score / ",""),IF(AJ74="Yes",AL74,"")))),LEN(IF(OR(AJ72="",AJ73=""),"",IF(CONCATENATE(IF(AJ72="Yes","R-squared / ",""),IF(AJ73="Yes","Brier score / ",""),IF(AJ74="Yes",AL74,""))="","Not evaluated",CONCATENATE(IF(AJ72="Yes","R-squared / ",""),IF(AJ73="Yes","Brier score / ",""),IF(AJ74="Yes",AL74,"")))))-2),IF(OR(AJ72="",AJ73=""),"",IF(CONCATENATE(IF(AJ72="Yes","R-squared / ",""),IF(AJ73="Yes","Brier score / ",""),IF(AJ74="Yes",AL74,""))="","Not evaluated",CONCATENATE(IF(AJ72="Yes","R-squared / ",""),IF(AJ73="Yes","Brier score / ",""),IF(AJ74="Yes",AL74,"")))))</f>
        <v xml:space="preserve">Brier score </v>
      </c>
      <c r="AK71" s="306"/>
      <c r="AL71" s="306"/>
      <c r="AM71" s="305" t="str">
        <f>IF(RIGHT(IF(OR(AM72="",AM73=""),"",IF(CONCATENATE(IF(AM72="Yes","R-squared / ",""),IF(AM73="Yes","Brier score / ",""),IF(AM74="Yes",AO74,""))="","Not evaluated",CONCATENATE(IF(AM72="Yes","R-squared / ",""),IF(AM73="Yes","Brier score / ",""),IF(AM74="Yes",AO74,"")))),2)="/ ",LEFT(IF(OR(AM72="",AM73=""),"",IF(CONCATENATE(IF(AM72="Yes","R-squared / ",""),IF(AM73="Yes","Brier score / ",""),IF(AM74="Yes",AO74,""))="","Not evaluated",CONCATENATE(IF(AM72="Yes","R-squared / ",""),IF(AM73="Yes","Brier score / ",""),IF(AM74="Yes",AO74,"")))),LEN(IF(OR(AM72="",AM73=""),"",IF(CONCATENATE(IF(AM72="Yes","R-squared / ",""),IF(AM73="Yes","Brier score / ",""),IF(AM74="Yes",AO74,""))="","Not evaluated",CONCATENATE(IF(AM72="Yes","R-squared / ",""),IF(AM73="Yes","Brier score / ",""),IF(AM74="Yes",AO74,"")))))-2),IF(OR(AM72="",AM73=""),"",IF(CONCATENATE(IF(AM72="Yes","R-squared / ",""),IF(AM73="Yes","Brier score / ",""),IF(AM74="Yes",AO74,""))="","Not evaluated",CONCATENATE(IF(AM72="Yes","R-squared / ",""),IF(AM73="Yes","Brier score / ",""),IF(AM74="Yes",AO74,"")))))</f>
        <v/>
      </c>
      <c r="AN71" s="306"/>
      <c r="AO71" s="306"/>
      <c r="AP71" s="305" t="str">
        <f>IF(RIGHT(IF(OR(AP72="",AP73=""),"",IF(CONCATENATE(IF(AP72="Yes","R-squared / ",""),IF(AP73="Yes","Brier score / ",""),IF(AP74="Yes",AR74,""))="","Not evaluated",CONCATENATE(IF(AP72="Yes","R-squared / ",""),IF(AP73="Yes","Brier score / ",""),IF(AP74="Yes",AR74,"")))),2)="/ ",LEFT(IF(OR(AP72="",AP73=""),"",IF(CONCATENATE(IF(AP72="Yes","R-squared / ",""),IF(AP73="Yes","Brier score / ",""),IF(AP74="Yes",AR74,""))="","Not evaluated",CONCATENATE(IF(AP72="Yes","R-squared / ",""),IF(AP73="Yes","Brier score / ",""),IF(AP74="Yes",AR74,"")))),LEN(IF(OR(AP72="",AP73=""),"",IF(CONCATENATE(IF(AP72="Yes","R-squared / ",""),IF(AP73="Yes","Brier score / ",""),IF(AP74="Yes",AR74,""))="","Not evaluated",CONCATENATE(IF(AP72="Yes","R-squared / ",""),IF(AP73="Yes","Brier score / ",""),IF(AP74="Yes",AR74,"")))))-2),IF(OR(AP72="",AP73=""),"",IF(CONCATENATE(IF(AP72="Yes","R-squared / ",""),IF(AP73="Yes","Brier score / ",""),IF(AP74="Yes",AR74,""))="","Not evaluated",CONCATENATE(IF(AP72="Yes","R-squared / ",""),IF(AP73="Yes","Brier score / ",""),IF(AP74="Yes",AR74,"")))))</f>
        <v/>
      </c>
      <c r="AQ71" s="306"/>
      <c r="AR71" s="306"/>
      <c r="AS71" s="305" t="str">
        <f>IF(RIGHT(IF(OR(AS72="",AS73=""),"",IF(CONCATENATE(IF(AS72="Yes","R-squared / ",""),IF(AS73="Yes","Brier score / ",""),IF(AS74="Yes",AU74,""))="","Not evaluated",CONCATENATE(IF(AS72="Yes","R-squared / ",""),IF(AS73="Yes","Brier score / ",""),IF(AS74="Yes",AU74,"")))),2)="/ ",LEFT(IF(OR(AS72="",AS73=""),"",IF(CONCATENATE(IF(AS72="Yes","R-squared / ",""),IF(AS73="Yes","Brier score / ",""),IF(AS74="Yes",AU74,""))="","Not evaluated",CONCATENATE(IF(AS72="Yes","R-squared / ",""),IF(AS73="Yes","Brier score / ",""),IF(AS74="Yes",AU74,"")))),LEN(IF(OR(AS72="",AS73=""),"",IF(CONCATENATE(IF(AS72="Yes","R-squared / ",""),IF(AS73="Yes","Brier score / ",""),IF(AS74="Yes",AU74,""))="","Not evaluated",CONCATENATE(IF(AS72="Yes","R-squared / ",""),IF(AS73="Yes","Brier score / ",""),IF(AS74="Yes",AU74,"")))))-2),IF(OR(AS72="",AS73=""),"",IF(CONCATENATE(IF(AS72="Yes","R-squared / ",""),IF(AS73="Yes","Brier score / ",""),IF(AS74="Yes",AU74,""))="","Not evaluated",CONCATENATE(IF(AS72="Yes","R-squared / ",""),IF(AS73="Yes","Brier score / ",""),IF(AS74="Yes",AU74,"")))))</f>
        <v/>
      </c>
      <c r="AT71" s="306"/>
      <c r="AU71" s="306"/>
      <c r="AV71" s="305" t="str">
        <f>IF(RIGHT(IF(OR(AV72="",AV73=""),"",IF(CONCATENATE(IF(AV72="Yes","R-squared / ",""),IF(AV73="Yes","Brier score / ",""),IF(AV74="Yes",AX74,""))="","Not evaluated",CONCATENATE(IF(AV72="Yes","R-squared / ",""),IF(AV73="Yes","Brier score / ",""),IF(AV74="Yes",AX74,"")))),2)="/ ",LEFT(IF(OR(AV72="",AV73=""),"",IF(CONCATENATE(IF(AV72="Yes","R-squared / ",""),IF(AV73="Yes","Brier score / ",""),IF(AV74="Yes",AX74,""))="","Not evaluated",CONCATENATE(IF(AV72="Yes","R-squared / ",""),IF(AV73="Yes","Brier score / ",""),IF(AV74="Yes",AX74,"")))),LEN(IF(OR(AV72="",AV73=""),"",IF(CONCATENATE(IF(AV72="Yes","R-squared / ",""),IF(AV73="Yes","Brier score / ",""),IF(AV74="Yes",AX74,""))="","Not evaluated",CONCATENATE(IF(AV72="Yes","R-squared / ",""),IF(AV73="Yes","Brier score / ",""),IF(AV74="Yes",AX74,"")))))-2),IF(OR(AV72="",AV73=""),"",IF(CONCATENATE(IF(AV72="Yes","R-squared / ",""),IF(AV73="Yes","Brier score / ",""),IF(AV74="Yes",AX74,""))="","Not evaluated",CONCATENATE(IF(AV72="Yes","R-squared / ",""),IF(AV73="Yes","Brier score / ",""),IF(AV74="Yes",AX74,"")))))</f>
        <v/>
      </c>
      <c r="AW71" s="306"/>
      <c r="AX71" s="306"/>
      <c r="AY71" s="305" t="str">
        <f>IF(RIGHT(IF(OR(AY72="",AY73=""),"",IF(CONCATENATE(IF(AY72="Yes","R-squared / ",""),IF(AY73="Yes","Brier score / ",""),IF(AY74="Yes",BA74,""))="","Not evaluated",CONCATENATE(IF(AY72="Yes","R-squared / ",""),IF(AY73="Yes","Brier score / ",""),IF(AY74="Yes",BA74,"")))),2)="/ ",LEFT(IF(OR(AY72="",AY73=""),"",IF(CONCATENATE(IF(AY72="Yes","R-squared / ",""),IF(AY73="Yes","Brier score / ",""),IF(AY74="Yes",BA74,""))="","Not evaluated",CONCATENATE(IF(AY72="Yes","R-squared / ",""),IF(AY73="Yes","Brier score / ",""),IF(AY74="Yes",BA74,"")))),LEN(IF(OR(AY72="",AY73=""),"",IF(CONCATENATE(IF(AY72="Yes","R-squared / ",""),IF(AY73="Yes","Brier score / ",""),IF(AY74="Yes",BA74,""))="","Not evaluated",CONCATENATE(IF(AY72="Yes","R-squared / ",""),IF(AY73="Yes","Brier score / ",""),IF(AY74="Yes",BA74,"")))))-2),IF(OR(AY72="",AY73=""),"",IF(CONCATENATE(IF(AY72="Yes","R-squared / ",""),IF(AY73="Yes","Brier score / ",""),IF(AY74="Yes",BA74,""))="","Not evaluated",CONCATENATE(IF(AY72="Yes","R-squared / ",""),IF(AY73="Yes","Brier score / ",""),IF(AY74="Yes",BA74,"")))))</f>
        <v/>
      </c>
      <c r="AZ71" s="306"/>
      <c r="BA71" s="306"/>
      <c r="BB71" s="305" t="str">
        <f>IF(RIGHT(IF(OR(BB72="",BB73=""),"",IF(CONCATENATE(IF(BB72="Yes","R-squared / ",""),IF(BB73="Yes","Brier score / ",""),IF(BB74="Yes",BD74,""))="","Not evaluated",CONCATENATE(IF(BB72="Yes","R-squared / ",""),IF(BB73="Yes","Brier score / ",""),IF(BB74="Yes",BD74,"")))),2)="/ ",LEFT(IF(OR(BB72="",BB73=""),"",IF(CONCATENATE(IF(BB72="Yes","R-squared / ",""),IF(BB73="Yes","Brier score / ",""),IF(BB74="Yes",BD74,""))="","Not evaluated",CONCATENATE(IF(BB72="Yes","R-squared / ",""),IF(BB73="Yes","Brier score / ",""),IF(BB74="Yes",BD74,"")))),LEN(IF(OR(BB72="",BB73=""),"",IF(CONCATENATE(IF(BB72="Yes","R-squared / ",""),IF(BB73="Yes","Brier score / ",""),IF(BB74="Yes",BD74,""))="","Not evaluated",CONCATENATE(IF(BB72="Yes","R-squared / ",""),IF(BB73="Yes","Brier score / ",""),IF(BB74="Yes",BD74,"")))))-2),IF(OR(BB72="",BB73=""),"",IF(CONCATENATE(IF(BB72="Yes","R-squared / ",""),IF(BB73="Yes","Brier score / ",""),IF(BB74="Yes",BD74,""))="","Not evaluated",CONCATENATE(IF(BB72="Yes","R-squared / ",""),IF(BB73="Yes","Brier score / ",""),IF(BB74="Yes",BD74,"")))))</f>
        <v/>
      </c>
      <c r="BC71" s="306"/>
      <c r="BD71" s="306"/>
      <c r="BE71" s="305" t="str">
        <f>IF(RIGHT(IF(OR(BE72="",BE73=""),"",IF(CONCATENATE(IF(BE72="Yes","R-squared / ",""),IF(BE73="Yes","Brier score / ",""),IF(BE74="Yes",BG74,""))="","Not evaluated",CONCATENATE(IF(BE72="Yes","R-squared / ",""),IF(BE73="Yes","Brier score / ",""),IF(BE74="Yes",BG74,"")))),2)="/ ",LEFT(IF(OR(BE72="",BE73=""),"",IF(CONCATENATE(IF(BE72="Yes","R-squared / ",""),IF(BE73="Yes","Brier score / ",""),IF(BE74="Yes",BG74,""))="","Not evaluated",CONCATENATE(IF(BE72="Yes","R-squared / ",""),IF(BE73="Yes","Brier score / ",""),IF(BE74="Yes",BG74,"")))),LEN(IF(OR(BE72="",BE73=""),"",IF(CONCATENATE(IF(BE72="Yes","R-squared / ",""),IF(BE73="Yes","Brier score / ",""),IF(BE74="Yes",BG74,""))="","Not evaluated",CONCATENATE(IF(BE72="Yes","R-squared / ",""),IF(BE73="Yes","Brier score / ",""),IF(BE74="Yes",BG74,"")))))-2),IF(OR(BE72="",BE73=""),"",IF(CONCATENATE(IF(BE72="Yes","R-squared / ",""),IF(BE73="Yes","Brier score / ",""),IF(BE74="Yes",BG74,""))="","Not evaluated",CONCATENATE(IF(BE72="Yes","R-squared / ",""),IF(BE73="Yes","Brier score / ",""),IF(BE74="Yes",BG74,"")))))</f>
        <v/>
      </c>
      <c r="BF71" s="306"/>
      <c r="BG71" s="306"/>
      <c r="BH71" s="305" t="str">
        <f>IF(RIGHT(IF(OR(BH72="",BH73=""),"",IF(CONCATENATE(IF(BH72="Yes","R-squared / ",""),IF(BH73="Yes","Brier score / ",""),IF(BH74="Yes",BJ74,""))="","Not evaluated",CONCATENATE(IF(BH72="Yes","R-squared / ",""),IF(BH73="Yes","Brier score / ",""),IF(BH74="Yes",BJ74,"")))),2)="/ ",LEFT(IF(OR(BH72="",BH73=""),"",IF(CONCATENATE(IF(BH72="Yes","R-squared / ",""),IF(BH73="Yes","Brier score / ",""),IF(BH74="Yes",BJ74,""))="","Not evaluated",CONCATENATE(IF(BH72="Yes","R-squared / ",""),IF(BH73="Yes","Brier score / ",""),IF(BH74="Yes",BJ74,"")))),LEN(IF(OR(BH72="",BH73=""),"",IF(CONCATENATE(IF(BH72="Yes","R-squared / ",""),IF(BH73="Yes","Brier score / ",""),IF(BH74="Yes",BJ74,""))="","Not evaluated",CONCATENATE(IF(BH72="Yes","R-squared / ",""),IF(BH73="Yes","Brier score / ",""),IF(BH74="Yes",BJ74,"")))))-2),IF(OR(BH72="",BH73=""),"",IF(CONCATENATE(IF(BH72="Yes","R-squared / ",""),IF(BH73="Yes","Brier score / ",""),IF(BH74="Yes",BJ74,""))="","Not evaluated",CONCATENATE(IF(BH72="Yes","R-squared / ",""),IF(BH73="Yes","Brier score / ",""),IF(BH74="Yes",BJ74,"")))))</f>
        <v/>
      </c>
      <c r="BI71" s="306"/>
      <c r="BJ71" s="306"/>
      <c r="BK71" s="305" t="str">
        <f>IF(RIGHT(IF(OR(BK72="",BK73=""),"",IF(CONCATENATE(IF(BK72="Yes","R-squared / ",""),IF(BK73="Yes","Brier score / ",""),IF(BK74="Yes",BM74,""))="","Not evaluated",CONCATENATE(IF(BK72="Yes","R-squared / ",""),IF(BK73="Yes","Brier score / ",""),IF(BK74="Yes",BM74,"")))),2)="/ ",LEFT(IF(OR(BK72="",BK73=""),"",IF(CONCATENATE(IF(BK72="Yes","R-squared / ",""),IF(BK73="Yes","Brier score / ",""),IF(BK74="Yes",BM74,""))="","Not evaluated",CONCATENATE(IF(BK72="Yes","R-squared / ",""),IF(BK73="Yes","Brier score / ",""),IF(BK74="Yes",BM74,"")))),LEN(IF(OR(BK72="",BK73=""),"",IF(CONCATENATE(IF(BK72="Yes","R-squared / ",""),IF(BK73="Yes","Brier score / ",""),IF(BK74="Yes",BM74,""))="","Not evaluated",CONCATENATE(IF(BK72="Yes","R-squared / ",""),IF(BK73="Yes","Brier score / ",""),IF(BK74="Yes",BM74,"")))))-2),IF(OR(BK72="",BK73=""),"",IF(CONCATENATE(IF(BK72="Yes","R-squared / ",""),IF(BK73="Yes","Brier score / ",""),IF(BK74="Yes",BM74,""))="","Not evaluated",CONCATENATE(IF(BK72="Yes","R-squared / ",""),IF(BK73="Yes","Brier score / ",""),IF(BK74="Yes",BM74,"")))))</f>
        <v/>
      </c>
      <c r="BL71" s="306"/>
      <c r="BM71" s="306"/>
      <c r="BN71" s="305" t="str">
        <f>IF(RIGHT(IF(OR(BN72="",BN73=""),"",IF(CONCATENATE(IF(BN72="Yes","R-squared / ",""),IF(BN73="Yes","Brier score / ",""),IF(BN74="Yes",BP74,""))="","Not evaluated",CONCATENATE(IF(BN72="Yes","R-squared / ",""),IF(BN73="Yes","Brier score / ",""),IF(BN74="Yes",BP74,"")))),2)="/ ",LEFT(IF(OR(BN72="",BN73=""),"",IF(CONCATENATE(IF(BN72="Yes","R-squared / ",""),IF(BN73="Yes","Brier score / ",""),IF(BN74="Yes",BP74,""))="","Not evaluated",CONCATENATE(IF(BN72="Yes","R-squared / ",""),IF(BN73="Yes","Brier score / ",""),IF(BN74="Yes",BP74,"")))),LEN(IF(OR(BN72="",BN73=""),"",IF(CONCATENATE(IF(BN72="Yes","R-squared / ",""),IF(BN73="Yes","Brier score / ",""),IF(BN74="Yes",BP74,""))="","Not evaluated",CONCATENATE(IF(BN72="Yes","R-squared / ",""),IF(BN73="Yes","Brier score / ",""),IF(BN74="Yes",BP74,"")))))-2),IF(OR(BN72="",BN73=""),"",IF(CONCATENATE(IF(BN72="Yes","R-squared / ",""),IF(BN73="Yes","Brier score / ",""),IF(BN74="Yes",BP74,""))="","Not evaluated",CONCATENATE(IF(BN72="Yes","R-squared / ",""),IF(BN73="Yes","Brier score / ",""),IF(BN74="Yes",BP74,"")))))</f>
        <v/>
      </c>
      <c r="BO71" s="306"/>
      <c r="BP71" s="306"/>
      <c r="BQ71" s="305" t="str">
        <f>IF(RIGHT(IF(OR(BQ72="",BQ73=""),"",IF(CONCATENATE(IF(BQ72="Yes","R-squared / ",""),IF(BQ73="Yes","Brier score / ",""),IF(BQ74="Yes",BS74,""))="","Not evaluated",CONCATENATE(IF(BQ72="Yes","R-squared / ",""),IF(BQ73="Yes","Brier score / ",""),IF(BQ74="Yes",BS74,"")))),2)="/ ",LEFT(IF(OR(BQ72="",BQ73=""),"",IF(CONCATENATE(IF(BQ72="Yes","R-squared / ",""),IF(BQ73="Yes","Brier score / ",""),IF(BQ74="Yes",BS74,""))="","Not evaluated",CONCATENATE(IF(BQ72="Yes","R-squared / ",""),IF(BQ73="Yes","Brier score / ",""),IF(BQ74="Yes",BS74,"")))),LEN(IF(OR(BQ72="",BQ73=""),"",IF(CONCATENATE(IF(BQ72="Yes","R-squared / ",""),IF(BQ73="Yes","Brier score / ",""),IF(BQ74="Yes",BS74,""))="","Not evaluated",CONCATENATE(IF(BQ72="Yes","R-squared / ",""),IF(BQ73="Yes","Brier score / ",""),IF(BQ74="Yes",BS74,"")))))-2),IF(OR(BQ72="",BQ73=""),"",IF(CONCATENATE(IF(BQ72="Yes","R-squared / ",""),IF(BQ73="Yes","Brier score / ",""),IF(BQ74="Yes",BS74,""))="","Not evaluated",CONCATENATE(IF(BQ72="Yes","R-squared / ",""),IF(BQ73="Yes","Brier score / ",""),IF(BQ74="Yes",BS74,"")))))</f>
        <v/>
      </c>
      <c r="BR71" s="306"/>
      <c r="BS71" s="306"/>
      <c r="BT71" s="305" t="str">
        <f>IF(RIGHT(IF(OR(BT72="",BT73=""),"",IF(CONCATENATE(IF(BT72="Yes","R-squared / ",""),IF(BT73="Yes","Brier score / ",""),IF(BT74="Yes",BV74,""))="","Not evaluated",CONCATENATE(IF(BT72="Yes","R-squared / ",""),IF(BT73="Yes","Brier score / ",""),IF(BT74="Yes",BV74,"")))),2)="/ ",LEFT(IF(OR(BT72="",BT73=""),"",IF(CONCATENATE(IF(BT72="Yes","R-squared / ",""),IF(BT73="Yes","Brier score / ",""),IF(BT74="Yes",BV74,""))="","Not evaluated",CONCATENATE(IF(BT72="Yes","R-squared / ",""),IF(BT73="Yes","Brier score / ",""),IF(BT74="Yes",BV74,"")))),LEN(IF(OR(BT72="",BT73=""),"",IF(CONCATENATE(IF(BT72="Yes","R-squared / ",""),IF(BT73="Yes","Brier score / ",""),IF(BT74="Yes",BV74,""))="","Not evaluated",CONCATENATE(IF(BT72="Yes","R-squared / ",""),IF(BT73="Yes","Brier score / ",""),IF(BT74="Yes",BV74,"")))))-2),IF(OR(BT72="",BT73=""),"",IF(CONCATENATE(IF(BT72="Yes","R-squared / ",""),IF(BT73="Yes","Brier score / ",""),IF(BT74="Yes",BV74,""))="","Not evaluated",CONCATENATE(IF(BT72="Yes","R-squared / ",""),IF(BT73="Yes","Brier score / ",""),IF(BT74="Yes",BV74,"")))))</f>
        <v/>
      </c>
      <c r="BU71" s="306"/>
      <c r="BV71" s="306"/>
      <c r="BW71" s="305" t="str">
        <f>IF(RIGHT(IF(OR(BW72="",BW73=""),"",IF(CONCATENATE(IF(BW72="Yes","R-squared / ",""),IF(BW73="Yes","Brier score / ",""),IF(BW74="Yes",BY74,""))="","Not evaluated",CONCATENATE(IF(BW72="Yes","R-squared / ",""),IF(BW73="Yes","Brier score / ",""),IF(BW74="Yes",BY74,"")))),2)="/ ",LEFT(IF(OR(BW72="",BW73=""),"",IF(CONCATENATE(IF(BW72="Yes","R-squared / ",""),IF(BW73="Yes","Brier score / ",""),IF(BW74="Yes",BY74,""))="","Not evaluated",CONCATENATE(IF(BW72="Yes","R-squared / ",""),IF(BW73="Yes","Brier score / ",""),IF(BW74="Yes",BY74,"")))),LEN(IF(OR(BW72="",BW73=""),"",IF(CONCATENATE(IF(BW72="Yes","R-squared / ",""),IF(BW73="Yes","Brier score / ",""),IF(BW74="Yes",BY74,""))="","Not evaluated",CONCATENATE(IF(BW72="Yes","R-squared / ",""),IF(BW73="Yes","Brier score / ",""),IF(BW74="Yes",BY74,"")))))-2),IF(OR(BW72="",BW73=""),"",IF(CONCATENATE(IF(BW72="Yes","R-squared / ",""),IF(BW73="Yes","Brier score / ",""),IF(BW74="Yes",BY74,""))="","Not evaluated",CONCATENATE(IF(BW72="Yes","R-squared / ",""),IF(BW73="Yes","Brier score / ",""),IF(BW74="Yes",BY74,"")))))</f>
        <v/>
      </c>
      <c r="BX71" s="306"/>
      <c r="BY71" s="306"/>
      <c r="BZ71" s="305" t="str">
        <f>IF(RIGHT(IF(OR(BZ72="",BZ73=""),"",IF(CONCATENATE(IF(BZ72="Yes","R-squared / ",""),IF(BZ73="Yes","Brier score / ",""),IF(BZ74="Yes",CB74,""))="","Not evaluated",CONCATENATE(IF(BZ72="Yes","R-squared / ",""),IF(BZ73="Yes","Brier score / ",""),IF(BZ74="Yes",CB74,"")))),2)="/ ",LEFT(IF(OR(BZ72="",BZ73=""),"",IF(CONCATENATE(IF(BZ72="Yes","R-squared / ",""),IF(BZ73="Yes","Brier score / ",""),IF(BZ74="Yes",CB74,""))="","Not evaluated",CONCATENATE(IF(BZ72="Yes","R-squared / ",""),IF(BZ73="Yes","Brier score / ",""),IF(BZ74="Yes",CB74,"")))),LEN(IF(OR(BZ72="",BZ73=""),"",IF(CONCATENATE(IF(BZ72="Yes","R-squared / ",""),IF(BZ73="Yes","Brier score / ",""),IF(BZ74="Yes",CB74,""))="","Not evaluated",CONCATENATE(IF(BZ72="Yes","R-squared / ",""),IF(BZ73="Yes","Brier score / ",""),IF(BZ74="Yes",CB74,"")))))-2),IF(OR(BZ72="",BZ73=""),"",IF(CONCATENATE(IF(BZ72="Yes","R-squared / ",""),IF(BZ73="Yes","Brier score / ",""),IF(BZ74="Yes",CB74,""))="","Not evaluated",CONCATENATE(IF(BZ72="Yes","R-squared / ",""),IF(BZ73="Yes","Brier score / ",""),IF(BZ74="Yes",CB74,"")))))</f>
        <v/>
      </c>
      <c r="CA71" s="306"/>
      <c r="CB71" s="306"/>
      <c r="CC71" s="305" t="str">
        <f>IF(RIGHT(IF(OR(CC72="",CC73=""),"",IF(CONCATENATE(IF(CC72="Yes","R-squared / ",""),IF(CC73="Yes","Brier score / ",""),IF(CC74="Yes",CE74,""))="","Not evaluated",CONCATENATE(IF(CC72="Yes","R-squared / ",""),IF(CC73="Yes","Brier score / ",""),IF(CC74="Yes",CE74,"")))),2)="/ ",LEFT(IF(OR(CC72="",CC73=""),"",IF(CONCATENATE(IF(CC72="Yes","R-squared / ",""),IF(CC73="Yes","Brier score / ",""),IF(CC74="Yes",CE74,""))="","Not evaluated",CONCATENATE(IF(CC72="Yes","R-squared / ",""),IF(CC73="Yes","Brier score / ",""),IF(CC74="Yes",CE74,"")))),LEN(IF(OR(CC72="",CC73=""),"",IF(CONCATENATE(IF(CC72="Yes","R-squared / ",""),IF(CC73="Yes","Brier score / ",""),IF(CC74="Yes",CE74,""))="","Not evaluated",CONCATENATE(IF(CC72="Yes","R-squared / ",""),IF(CC73="Yes","Brier score / ",""),IF(CC74="Yes",CE74,"")))))-2),IF(OR(CC72="",CC73=""),"",IF(CONCATENATE(IF(CC72="Yes","R-squared / ",""),IF(CC73="Yes","Brier score / ",""),IF(CC74="Yes",CE74,""))="","Not evaluated",CONCATENATE(IF(CC72="Yes","R-squared / ",""),IF(CC73="Yes","Brier score / ",""),IF(CC74="Yes",CE74,"")))))</f>
        <v/>
      </c>
      <c r="CD71" s="306"/>
      <c r="CE71" s="306"/>
      <c r="CF71" s="305" t="str">
        <f>IF(RIGHT(IF(OR(CF72="",CF73=""),"",IF(CONCATENATE(IF(CF72="Yes","R-squared / ",""),IF(CF73="Yes","Brier score / ",""),IF(CF74="Yes",CH74,""))="","Not evaluated",CONCATENATE(IF(CF72="Yes","R-squared / ",""),IF(CF73="Yes","Brier score / ",""),IF(CF74="Yes",CH74,"")))),2)="/ ",LEFT(IF(OR(CF72="",CF73=""),"",IF(CONCATENATE(IF(CF72="Yes","R-squared / ",""),IF(CF73="Yes","Brier score / ",""),IF(CF74="Yes",CH74,""))="","Not evaluated",CONCATENATE(IF(CF72="Yes","R-squared / ",""),IF(CF73="Yes","Brier score / ",""),IF(CF74="Yes",CH74,"")))),LEN(IF(OR(CF72="",CF73=""),"",IF(CONCATENATE(IF(CF72="Yes","R-squared / ",""),IF(CF73="Yes","Brier score / ",""),IF(CF74="Yes",CH74,""))="","Not evaluated",CONCATENATE(IF(CF72="Yes","R-squared / ",""),IF(CF73="Yes","Brier score / ",""),IF(CF74="Yes",CH74,"")))))-2),IF(OR(CF72="",CF73=""),"",IF(CONCATENATE(IF(CF72="Yes","R-squared / ",""),IF(CF73="Yes","Brier score / ",""),IF(CF74="Yes",CH74,""))="","Not evaluated",CONCATENATE(IF(CF72="Yes","R-squared / ",""),IF(CF73="Yes","Brier score / ",""),IF(CF74="Yes",CH74,"")))))</f>
        <v/>
      </c>
      <c r="CG71" s="306"/>
      <c r="CH71" s="306"/>
      <c r="CI71" s="305" t="str">
        <f>IF(RIGHT(IF(OR(CI72="",CI73=""),"",IF(CONCATENATE(IF(CI72="Yes","R-squared / ",""),IF(CI73="Yes","Brier score / ",""),IF(CI74="Yes",CK74,""))="","Not evaluated",CONCATENATE(IF(CI72="Yes","R-squared / ",""),IF(CI73="Yes","Brier score / ",""),IF(CI74="Yes",CK74,"")))),2)="/ ",LEFT(IF(OR(CI72="",CI73=""),"",IF(CONCATENATE(IF(CI72="Yes","R-squared / ",""),IF(CI73="Yes","Brier score / ",""),IF(CI74="Yes",CK74,""))="","Not evaluated",CONCATENATE(IF(CI72="Yes","R-squared / ",""),IF(CI73="Yes","Brier score / ",""),IF(CI74="Yes",CK74,"")))),LEN(IF(OR(CI72="",CI73=""),"",IF(CONCATENATE(IF(CI72="Yes","R-squared / ",""),IF(CI73="Yes","Brier score / ",""),IF(CI74="Yes",CK74,""))="","Not evaluated",CONCATENATE(IF(CI72="Yes","R-squared / ",""),IF(CI73="Yes","Brier score / ",""),IF(CI74="Yes",CK74,"")))))-2),IF(OR(CI72="",CI73=""),"",IF(CONCATENATE(IF(CI72="Yes","R-squared / ",""),IF(CI73="Yes","Brier score / ",""),IF(CI74="Yes",CK74,""))="","Not evaluated",CONCATENATE(IF(CI72="Yes","R-squared / ",""),IF(CI73="Yes","Brier score / ",""),IF(CI74="Yes",CK74,"")))))</f>
        <v/>
      </c>
      <c r="CJ71" s="306"/>
      <c r="CK71" s="306"/>
      <c r="CL71" s="305" t="str">
        <f>IF(RIGHT(IF(OR(CL72="",CL73=""),"",IF(CONCATENATE(IF(CL72="Yes","R-squared / ",""),IF(CL73="Yes","Brier score / ",""),IF(CL74="Yes",CN74,""))="","Not evaluated",CONCATENATE(IF(CL72="Yes","R-squared / ",""),IF(CL73="Yes","Brier score / ",""),IF(CL74="Yes",CN74,"")))),2)="/ ",LEFT(IF(OR(CL72="",CL73=""),"",IF(CONCATENATE(IF(CL72="Yes","R-squared / ",""),IF(CL73="Yes","Brier score / ",""),IF(CL74="Yes",CN74,""))="","Not evaluated",CONCATENATE(IF(CL72="Yes","R-squared / ",""),IF(CL73="Yes","Brier score / ",""),IF(CL74="Yes",CN74,"")))),LEN(IF(OR(CL72="",CL73=""),"",IF(CONCATENATE(IF(CL72="Yes","R-squared / ",""),IF(CL73="Yes","Brier score / ",""),IF(CL74="Yes",CN74,""))="","Not evaluated",CONCATENATE(IF(CL72="Yes","R-squared / ",""),IF(CL73="Yes","Brier score / ",""),IF(CL74="Yes",CN74,"")))))-2),IF(OR(CL72="",CL73=""),"",IF(CONCATENATE(IF(CL72="Yes","R-squared / ",""),IF(CL73="Yes","Brier score / ",""),IF(CL74="Yes",CN74,""))="","Not evaluated",CONCATENATE(IF(CL72="Yes","R-squared / ",""),IF(CL73="Yes","Brier score / ",""),IF(CL74="Yes",CN74,"")))))</f>
        <v/>
      </c>
      <c r="CM71" s="306"/>
      <c r="CN71" s="306"/>
      <c r="CO71" s="305" t="str">
        <f>IF(RIGHT(IF(OR(CO72="",CO73=""),"",IF(CONCATENATE(IF(CO72="Yes","R-squared / ",""),IF(CO73="Yes","Brier score / ",""),IF(CO74="Yes",CQ74,""))="","Not evaluated",CONCATENATE(IF(CO72="Yes","R-squared / ",""),IF(CO73="Yes","Brier score / ",""),IF(CO74="Yes",CQ74,"")))),2)="/ ",LEFT(IF(OR(CO72="",CO73=""),"",IF(CONCATENATE(IF(CO72="Yes","R-squared / ",""),IF(CO73="Yes","Brier score / ",""),IF(CO74="Yes",CQ74,""))="","Not evaluated",CONCATENATE(IF(CO72="Yes","R-squared / ",""),IF(CO73="Yes","Brier score / ",""),IF(CO74="Yes",CQ74,"")))),LEN(IF(OR(CO72="",CO73=""),"",IF(CONCATENATE(IF(CO72="Yes","R-squared / ",""),IF(CO73="Yes","Brier score / ",""),IF(CO74="Yes",CQ74,""))="","Not evaluated",CONCATENATE(IF(CO72="Yes","R-squared / ",""),IF(CO73="Yes","Brier score / ",""),IF(CO74="Yes",CQ74,"")))))-2),IF(OR(CO72="",CO73=""),"",IF(CONCATENATE(IF(CO72="Yes","R-squared / ",""),IF(CO73="Yes","Brier score / ",""),IF(CO74="Yes",CQ74,""))="","Not evaluated",CONCATENATE(IF(CO72="Yes","R-squared / ",""),IF(CO73="Yes","Brier score / ",""),IF(CO74="Yes",CQ74,"")))))</f>
        <v/>
      </c>
      <c r="CP71" s="306"/>
      <c r="CQ71" s="306"/>
    </row>
    <row r="72" spans="1:95" s="13" customFormat="1" ht="15" customHeight="1" x14ac:dyDescent="0.3">
      <c r="A72" s="62"/>
      <c r="B72" s="62" t="s">
        <v>36</v>
      </c>
      <c r="C72" s="62"/>
      <c r="D72" s="343" t="s">
        <v>146</v>
      </c>
      <c r="E72" s="347"/>
      <c r="F72" s="38" t="s">
        <v>88</v>
      </c>
      <c r="G72" s="52" t="s">
        <v>126</v>
      </c>
      <c r="H72" s="46"/>
      <c r="I72" s="38" t="s">
        <v>88</v>
      </c>
      <c r="J72" s="52" t="s">
        <v>126</v>
      </c>
      <c r="K72" s="46"/>
      <c r="L72" s="38" t="s">
        <v>88</v>
      </c>
      <c r="M72" s="52" t="s">
        <v>126</v>
      </c>
      <c r="N72" s="46"/>
      <c r="O72" s="38" t="s">
        <v>88</v>
      </c>
      <c r="P72" s="52" t="s">
        <v>126</v>
      </c>
      <c r="Q72" s="46"/>
      <c r="R72" s="38" t="s">
        <v>88</v>
      </c>
      <c r="S72" s="52" t="s">
        <v>126</v>
      </c>
      <c r="T72" s="46"/>
      <c r="U72" s="38" t="s">
        <v>88</v>
      </c>
      <c r="V72" s="52" t="s">
        <v>126</v>
      </c>
      <c r="W72" s="46"/>
      <c r="X72" s="38" t="s">
        <v>88</v>
      </c>
      <c r="Y72" s="52" t="s">
        <v>126</v>
      </c>
      <c r="Z72" s="46"/>
      <c r="AA72" s="38" t="s">
        <v>88</v>
      </c>
      <c r="AB72" s="52" t="s">
        <v>126</v>
      </c>
      <c r="AC72" s="46"/>
      <c r="AD72" s="38" t="s">
        <v>88</v>
      </c>
      <c r="AE72" s="52" t="s">
        <v>126</v>
      </c>
      <c r="AF72" s="46"/>
      <c r="AG72" s="38" t="s">
        <v>88</v>
      </c>
      <c r="AH72" s="52" t="s">
        <v>126</v>
      </c>
      <c r="AI72" s="46"/>
      <c r="AJ72" s="38" t="s">
        <v>88</v>
      </c>
      <c r="AK72" s="52" t="s">
        <v>126</v>
      </c>
      <c r="AL72" s="46"/>
      <c r="AM72" s="38"/>
      <c r="AN72" s="52" t="s">
        <v>126</v>
      </c>
      <c r="AO72" s="46"/>
      <c r="AP72" s="38"/>
      <c r="AQ72" s="52" t="s">
        <v>126</v>
      </c>
      <c r="AR72" s="46"/>
      <c r="AS72" s="38"/>
      <c r="AT72" s="52" t="s">
        <v>126</v>
      </c>
      <c r="AU72" s="46"/>
      <c r="AV72" s="38"/>
      <c r="AW72" s="52" t="s">
        <v>126</v>
      </c>
      <c r="AX72" s="46"/>
      <c r="AY72" s="38"/>
      <c r="AZ72" s="52" t="s">
        <v>126</v>
      </c>
      <c r="BA72" s="46"/>
      <c r="BB72" s="38"/>
      <c r="BC72" s="52" t="s">
        <v>126</v>
      </c>
      <c r="BD72" s="46"/>
      <c r="BE72" s="38"/>
      <c r="BF72" s="52" t="s">
        <v>126</v>
      </c>
      <c r="BG72" s="46"/>
      <c r="BH72" s="38"/>
      <c r="BI72" s="52" t="s">
        <v>126</v>
      </c>
      <c r="BJ72" s="46"/>
      <c r="BK72" s="38"/>
      <c r="BL72" s="52" t="s">
        <v>126</v>
      </c>
      <c r="BM72" s="46"/>
      <c r="BN72" s="38"/>
      <c r="BO72" s="52" t="s">
        <v>126</v>
      </c>
      <c r="BP72" s="46"/>
      <c r="BQ72" s="38"/>
      <c r="BR72" s="52" t="s">
        <v>126</v>
      </c>
      <c r="BS72" s="46"/>
      <c r="BT72" s="38"/>
      <c r="BU72" s="52" t="s">
        <v>126</v>
      </c>
      <c r="BV72" s="46"/>
      <c r="BW72" s="38"/>
      <c r="BX72" s="52" t="s">
        <v>126</v>
      </c>
      <c r="BY72" s="46"/>
      <c r="BZ72" s="38"/>
      <c r="CA72" s="52" t="s">
        <v>126</v>
      </c>
      <c r="CB72" s="46"/>
      <c r="CC72" s="38"/>
      <c r="CD72" s="52" t="s">
        <v>126</v>
      </c>
      <c r="CE72" s="46"/>
      <c r="CF72" s="38"/>
      <c r="CG72" s="52" t="s">
        <v>126</v>
      </c>
      <c r="CH72" s="46"/>
      <c r="CI72" s="38"/>
      <c r="CJ72" s="52" t="s">
        <v>126</v>
      </c>
      <c r="CK72" s="46"/>
      <c r="CL72" s="38"/>
      <c r="CM72" s="52" t="s">
        <v>126</v>
      </c>
      <c r="CN72" s="46"/>
      <c r="CO72" s="37"/>
      <c r="CP72" s="52" t="s">
        <v>126</v>
      </c>
      <c r="CQ72" s="46"/>
    </row>
    <row r="73" spans="1:95" s="13" customFormat="1" ht="15" customHeight="1" x14ac:dyDescent="0.3">
      <c r="A73" s="62"/>
      <c r="B73" s="62" t="s">
        <v>36</v>
      </c>
      <c r="C73" s="62"/>
      <c r="D73" s="343" t="s">
        <v>147</v>
      </c>
      <c r="E73" s="347"/>
      <c r="F73" s="38" t="s">
        <v>83</v>
      </c>
      <c r="G73" s="52" t="s">
        <v>126</v>
      </c>
      <c r="H73" s="209">
        <v>0.03</v>
      </c>
      <c r="I73" s="38" t="s">
        <v>88</v>
      </c>
      <c r="J73" s="52" t="s">
        <v>126</v>
      </c>
      <c r="K73" s="46"/>
      <c r="L73" s="38" t="s">
        <v>88</v>
      </c>
      <c r="M73" s="52" t="s">
        <v>126</v>
      </c>
      <c r="N73" s="46"/>
      <c r="O73" s="38" t="s">
        <v>83</v>
      </c>
      <c r="P73" s="52" t="s">
        <v>126</v>
      </c>
      <c r="Q73" s="46">
        <v>3.9E-2</v>
      </c>
      <c r="R73" s="38" t="s">
        <v>88</v>
      </c>
      <c r="S73" s="52" t="s">
        <v>126</v>
      </c>
      <c r="T73" s="46"/>
      <c r="U73" s="38" t="s">
        <v>83</v>
      </c>
      <c r="V73" s="52" t="s">
        <v>126</v>
      </c>
      <c r="W73" s="46">
        <v>8.1000000000000003E-2</v>
      </c>
      <c r="X73" s="38" t="s">
        <v>88</v>
      </c>
      <c r="Y73" s="52" t="s">
        <v>126</v>
      </c>
      <c r="Z73" s="46"/>
      <c r="AA73" s="38" t="s">
        <v>88</v>
      </c>
      <c r="AB73" s="52" t="s">
        <v>126</v>
      </c>
      <c r="AC73" s="46"/>
      <c r="AD73" s="38" t="s">
        <v>83</v>
      </c>
      <c r="AE73" s="52" t="s">
        <v>126</v>
      </c>
      <c r="AF73" s="46" t="s">
        <v>421</v>
      </c>
      <c r="AG73" s="38" t="s">
        <v>83</v>
      </c>
      <c r="AH73" s="52" t="s">
        <v>126</v>
      </c>
      <c r="AI73" s="46">
        <v>0.159</v>
      </c>
      <c r="AJ73" s="38" t="s">
        <v>83</v>
      </c>
      <c r="AK73" s="52" t="s">
        <v>126</v>
      </c>
      <c r="AL73" s="46">
        <v>0.159</v>
      </c>
      <c r="AM73" s="38"/>
      <c r="AN73" s="52" t="s">
        <v>126</v>
      </c>
      <c r="AO73" s="46"/>
      <c r="AP73" s="38"/>
      <c r="AQ73" s="52" t="s">
        <v>126</v>
      </c>
      <c r="AR73" s="46"/>
      <c r="AS73" s="38"/>
      <c r="AT73" s="52" t="s">
        <v>126</v>
      </c>
      <c r="AU73" s="46"/>
      <c r="AV73" s="38"/>
      <c r="AW73" s="52" t="s">
        <v>126</v>
      </c>
      <c r="AX73" s="46"/>
      <c r="AY73" s="38"/>
      <c r="AZ73" s="52" t="s">
        <v>126</v>
      </c>
      <c r="BA73" s="46"/>
      <c r="BB73" s="38"/>
      <c r="BC73" s="52" t="s">
        <v>126</v>
      </c>
      <c r="BD73" s="46"/>
      <c r="BE73" s="38"/>
      <c r="BF73" s="52" t="s">
        <v>126</v>
      </c>
      <c r="BG73" s="46"/>
      <c r="BH73" s="38"/>
      <c r="BI73" s="52" t="s">
        <v>126</v>
      </c>
      <c r="BJ73" s="46"/>
      <c r="BK73" s="38"/>
      <c r="BL73" s="52" t="s">
        <v>126</v>
      </c>
      <c r="BM73" s="46"/>
      <c r="BN73" s="38"/>
      <c r="BO73" s="52" t="s">
        <v>126</v>
      </c>
      <c r="BP73" s="46"/>
      <c r="BQ73" s="38"/>
      <c r="BR73" s="52" t="s">
        <v>126</v>
      </c>
      <c r="BS73" s="46"/>
      <c r="BT73" s="38"/>
      <c r="BU73" s="52" t="s">
        <v>126</v>
      </c>
      <c r="BV73" s="46"/>
      <c r="BW73" s="38"/>
      <c r="BX73" s="52" t="s">
        <v>126</v>
      </c>
      <c r="BY73" s="46"/>
      <c r="BZ73" s="38"/>
      <c r="CA73" s="52" t="s">
        <v>126</v>
      </c>
      <c r="CB73" s="46"/>
      <c r="CC73" s="38"/>
      <c r="CD73" s="52" t="s">
        <v>126</v>
      </c>
      <c r="CE73" s="46"/>
      <c r="CF73" s="38"/>
      <c r="CG73" s="52" t="s">
        <v>126</v>
      </c>
      <c r="CH73" s="46"/>
      <c r="CI73" s="38"/>
      <c r="CJ73" s="52" t="s">
        <v>126</v>
      </c>
      <c r="CK73" s="46"/>
      <c r="CL73" s="38"/>
      <c r="CM73" s="52" t="s">
        <v>126</v>
      </c>
      <c r="CN73" s="46"/>
      <c r="CO73" s="37"/>
      <c r="CP73" s="52" t="s">
        <v>126</v>
      </c>
      <c r="CQ73" s="46"/>
    </row>
    <row r="74" spans="1:95" s="13" customFormat="1" ht="15" customHeight="1" x14ac:dyDescent="0.3">
      <c r="A74" s="62"/>
      <c r="B74" s="62" t="s">
        <v>36</v>
      </c>
      <c r="C74" s="62"/>
      <c r="D74" s="345" t="s">
        <v>148</v>
      </c>
      <c r="E74" s="346"/>
      <c r="F74" s="38" t="s">
        <v>88</v>
      </c>
      <c r="G74" s="53" t="s">
        <v>134</v>
      </c>
      <c r="H74" s="47"/>
      <c r="I74" s="38" t="s">
        <v>88</v>
      </c>
      <c r="J74" s="53" t="s">
        <v>134</v>
      </c>
      <c r="K74" s="47"/>
      <c r="L74" s="38" t="s">
        <v>88</v>
      </c>
      <c r="M74" s="53" t="s">
        <v>134</v>
      </c>
      <c r="N74" s="47"/>
      <c r="O74" s="38" t="s">
        <v>88</v>
      </c>
      <c r="P74" s="53" t="s">
        <v>134</v>
      </c>
      <c r="Q74" s="47"/>
      <c r="R74" s="38" t="s">
        <v>88</v>
      </c>
      <c r="S74" s="53" t="s">
        <v>134</v>
      </c>
      <c r="T74" s="47"/>
      <c r="U74" s="38" t="s">
        <v>88</v>
      </c>
      <c r="V74" s="53" t="s">
        <v>134</v>
      </c>
      <c r="W74" s="47"/>
      <c r="X74" s="38" t="s">
        <v>88</v>
      </c>
      <c r="Y74" s="53" t="s">
        <v>134</v>
      </c>
      <c r="Z74" s="47"/>
      <c r="AA74" s="38" t="s">
        <v>88</v>
      </c>
      <c r="AB74" s="53" t="s">
        <v>134</v>
      </c>
      <c r="AC74" s="47"/>
      <c r="AD74" s="38" t="s">
        <v>88</v>
      </c>
      <c r="AE74" s="53" t="s">
        <v>134</v>
      </c>
      <c r="AF74" s="47"/>
      <c r="AG74" s="38" t="s">
        <v>88</v>
      </c>
      <c r="AH74" s="53" t="s">
        <v>134</v>
      </c>
      <c r="AI74" s="47"/>
      <c r="AJ74" s="38" t="s">
        <v>88</v>
      </c>
      <c r="AK74" s="53" t="s">
        <v>134</v>
      </c>
      <c r="AL74" s="47"/>
      <c r="AM74" s="38"/>
      <c r="AN74" s="53" t="s">
        <v>134</v>
      </c>
      <c r="AO74" s="47"/>
      <c r="AP74" s="38"/>
      <c r="AQ74" s="53" t="s">
        <v>134</v>
      </c>
      <c r="AR74" s="47"/>
      <c r="AS74" s="38"/>
      <c r="AT74" s="53" t="s">
        <v>134</v>
      </c>
      <c r="AU74" s="47"/>
      <c r="AV74" s="38"/>
      <c r="AW74" s="53" t="s">
        <v>134</v>
      </c>
      <c r="AX74" s="47"/>
      <c r="AY74" s="38"/>
      <c r="AZ74" s="53" t="s">
        <v>134</v>
      </c>
      <c r="BA74" s="47"/>
      <c r="BB74" s="38"/>
      <c r="BC74" s="53" t="s">
        <v>134</v>
      </c>
      <c r="BD74" s="47"/>
      <c r="BE74" s="38"/>
      <c r="BF74" s="53" t="s">
        <v>134</v>
      </c>
      <c r="BG74" s="47"/>
      <c r="BH74" s="38"/>
      <c r="BI74" s="53" t="s">
        <v>134</v>
      </c>
      <c r="BJ74" s="47"/>
      <c r="BK74" s="38"/>
      <c r="BL74" s="53" t="s">
        <v>134</v>
      </c>
      <c r="BM74" s="47"/>
      <c r="BN74" s="38"/>
      <c r="BO74" s="53" t="s">
        <v>134</v>
      </c>
      <c r="BP74" s="47"/>
      <c r="BQ74" s="38"/>
      <c r="BR74" s="53" t="s">
        <v>134</v>
      </c>
      <c r="BS74" s="47"/>
      <c r="BT74" s="38"/>
      <c r="BU74" s="53" t="s">
        <v>134</v>
      </c>
      <c r="BV74" s="47"/>
      <c r="BW74" s="38"/>
      <c r="BX74" s="53" t="s">
        <v>134</v>
      </c>
      <c r="BY74" s="47"/>
      <c r="BZ74" s="38"/>
      <c r="CA74" s="53" t="s">
        <v>134</v>
      </c>
      <c r="CB74" s="47"/>
      <c r="CC74" s="38"/>
      <c r="CD74" s="53" t="s">
        <v>134</v>
      </c>
      <c r="CE74" s="47"/>
      <c r="CF74" s="38"/>
      <c r="CG74" s="53" t="s">
        <v>134</v>
      </c>
      <c r="CH74" s="47"/>
      <c r="CI74" s="38"/>
      <c r="CJ74" s="53" t="s">
        <v>134</v>
      </c>
      <c r="CK74" s="47"/>
      <c r="CL74" s="38"/>
      <c r="CM74" s="53" t="s">
        <v>134</v>
      </c>
      <c r="CN74" s="47"/>
      <c r="CO74" s="37"/>
      <c r="CP74" s="53" t="s">
        <v>134</v>
      </c>
      <c r="CQ74" s="47"/>
    </row>
    <row r="75" spans="1:95" s="13" customFormat="1" ht="15" customHeight="1" x14ac:dyDescent="0.3">
      <c r="A75" s="62"/>
      <c r="B75" s="62" t="s">
        <v>36</v>
      </c>
      <c r="C75" s="62"/>
      <c r="D75" s="348" t="s">
        <v>149</v>
      </c>
      <c r="E75" s="349"/>
      <c r="F75" s="359" t="str">
        <f>IF(RIGHT(IF(F76="","",IF(CONCATENATE(IF(F76="Yes","DCA / ",""),IF(F77="Yes",H77,""))="","Not evaluated",CONCATENATE(IF(F76="Yes","DCA / ",""),IF(F77="Yes",H77,"")))),2)="/ ",LEFT(IF(F76="","",IF(CONCATENATE(IF(F76="Yes","DCA / ",""),IF(F77="Yes",H77,""))="","Not evaluated",CONCATENATE(IF(F76="Yes","DCA / ",""),IF(F77="Yes",H77,"")))),LEN(IF(F76="","",IF(CONCATENATE(IF(F76="Yes","DCA / ",""),IF(F77="Yes",H77,""))="","Not evaluated",CONCATENATE(IF(F76="Yes","DCA / ",""),IF(F77="Yes",H77,"")))))-2),IF(F76="","",IF(CONCATENATE(IF(F76="Yes","DCA / ",""),IF(F77="Yes",H77,""))="","Not evaluated",CONCATENATE(IF(F76="Yes","DCA / ",""),IF(F77="Yes",H77,"")))))</f>
        <v>Not evaluated</v>
      </c>
      <c r="G75" s="360"/>
      <c r="H75" s="360"/>
      <c r="I75" s="360" t="str">
        <f t="shared" ref="I75" si="0">IF(RIGHT(IF(I76="","",IF(CONCATENATE(IF(I76="Yes","DCA / ",""),IF(I77="Yes",K77,""))="","Not evaluated",CONCATENATE(IF(I76="Yes","DCA / ",""),IF(I77="Yes",K77,"")))),2)="/ ",LEFT(IF(I76="","",IF(CONCATENATE(IF(I76="Yes","DCA / ",""),IF(I77="Yes",K77,""))="","Not evaluated",CONCATENATE(IF(I76="Yes","DCA / ",""),IF(I77="Yes",K77,"")))),LEN(IF(I76="","",IF(CONCATENATE(IF(I76="Yes","DCA / ",""),IF(I77="Yes",K77,""))="","Not evaluated",CONCATENATE(IF(I76="Yes","DCA / ",""),IF(I77="Yes",K77,"")))))-2),IF(I76="","",IF(CONCATENATE(IF(I76="Yes","DCA / ",""),IF(I77="Yes",K77,""))="","Not evaluated",CONCATENATE(IF(I76="Yes","DCA / ",""),IF(I77="Yes",K77,"")))))</f>
        <v>Not evaluated</v>
      </c>
      <c r="J75" s="360"/>
      <c r="K75" s="360"/>
      <c r="L75" s="360" t="str">
        <f t="shared" ref="L75" si="1">IF(RIGHT(IF(L76="","",IF(CONCATENATE(IF(L76="Yes","DCA / ",""),IF(L77="Yes",N77,""))="","Not evaluated",CONCATENATE(IF(L76="Yes","DCA / ",""),IF(L77="Yes",N77,"")))),2)="/ ",LEFT(IF(L76="","",IF(CONCATENATE(IF(L76="Yes","DCA / ",""),IF(L77="Yes",N77,""))="","Not evaluated",CONCATENATE(IF(L76="Yes","DCA / ",""),IF(L77="Yes",N77,"")))),LEN(IF(L76="","",IF(CONCATENATE(IF(L76="Yes","DCA / ",""),IF(L77="Yes",N77,""))="","Not evaluated",CONCATENATE(IF(L76="Yes","DCA / ",""),IF(L77="Yes",N77,"")))))-2),IF(L76="","",IF(CONCATENATE(IF(L76="Yes","DCA / ",""),IF(L77="Yes",N77,""))="","Not evaluated",CONCATENATE(IF(L76="Yes","DCA / ",""),IF(L77="Yes",N77,"")))))</f>
        <v>Not evaluated</v>
      </c>
      <c r="M75" s="360"/>
      <c r="N75" s="360"/>
      <c r="O75" s="360" t="str">
        <f t="shared" ref="O75" si="2">IF(RIGHT(IF(O76="","",IF(CONCATENATE(IF(O76="Yes","DCA / ",""),IF(O77="Yes",Q77,""))="","Not evaluated",CONCATENATE(IF(O76="Yes","DCA / ",""),IF(O77="Yes",Q77,"")))),2)="/ ",LEFT(IF(O76="","",IF(CONCATENATE(IF(O76="Yes","DCA / ",""),IF(O77="Yes",Q77,""))="","Not evaluated",CONCATENATE(IF(O76="Yes","DCA / ",""),IF(O77="Yes",Q77,"")))),LEN(IF(O76="","",IF(CONCATENATE(IF(O76="Yes","DCA / ",""),IF(O77="Yes",Q77,""))="","Not evaluated",CONCATENATE(IF(O76="Yes","DCA / ",""),IF(O77="Yes",Q77,"")))))-2),IF(O76="","",IF(CONCATENATE(IF(O76="Yes","DCA / ",""),IF(O77="Yes",Q77,""))="","Not evaluated",CONCATENATE(IF(O76="Yes","DCA / ",""),IF(O77="Yes",Q77,"")))))</f>
        <v>Not evaluated</v>
      </c>
      <c r="P75" s="360"/>
      <c r="Q75" s="360"/>
      <c r="R75" s="360" t="str">
        <f t="shared" ref="R75" si="3">IF(RIGHT(IF(R76="","",IF(CONCATENATE(IF(R76="Yes","DCA / ",""),IF(R77="Yes",T77,""))="","Not evaluated",CONCATENATE(IF(R76="Yes","DCA / ",""),IF(R77="Yes",T77,"")))),2)="/ ",LEFT(IF(R76="","",IF(CONCATENATE(IF(R76="Yes","DCA / ",""),IF(R77="Yes",T77,""))="","Not evaluated",CONCATENATE(IF(R76="Yes","DCA / ",""),IF(R77="Yes",T77,"")))),LEN(IF(R76="","",IF(CONCATENATE(IF(R76="Yes","DCA / ",""),IF(R77="Yes",T77,""))="","Not evaluated",CONCATENATE(IF(R76="Yes","DCA / ",""),IF(R77="Yes",T77,"")))))-2),IF(R76="","",IF(CONCATENATE(IF(R76="Yes","DCA / ",""),IF(R77="Yes",T77,""))="","Not evaluated",CONCATENATE(IF(R76="Yes","DCA / ",""),IF(R77="Yes",T77,"")))))</f>
        <v>Not evaluated</v>
      </c>
      <c r="S75" s="360"/>
      <c r="T75" s="360"/>
      <c r="U75" s="360" t="str">
        <f t="shared" ref="U75" si="4">IF(RIGHT(IF(U76="","",IF(CONCATENATE(IF(U76="Yes","DCA / ",""),IF(U77="Yes",W77,""))="","Not evaluated",CONCATENATE(IF(U76="Yes","DCA / ",""),IF(U77="Yes",W77,"")))),2)="/ ",LEFT(IF(U76="","",IF(CONCATENATE(IF(U76="Yes","DCA / ",""),IF(U77="Yes",W77,""))="","Not evaluated",CONCATENATE(IF(U76="Yes","DCA / ",""),IF(U77="Yes",W77,"")))),LEN(IF(U76="","",IF(CONCATENATE(IF(U76="Yes","DCA / ",""),IF(U77="Yes",W77,""))="","Not evaluated",CONCATENATE(IF(U76="Yes","DCA / ",""),IF(U77="Yes",W77,"")))))-2),IF(U76="","",IF(CONCATENATE(IF(U76="Yes","DCA / ",""),IF(U77="Yes",W77,""))="","Not evaluated",CONCATENATE(IF(U76="Yes","DCA / ",""),IF(U77="Yes",W77,"")))))</f>
        <v>Not evaluated</v>
      </c>
      <c r="V75" s="360"/>
      <c r="W75" s="360"/>
      <c r="X75" s="360" t="str">
        <f t="shared" ref="X75" si="5">IF(RIGHT(IF(X76="","",IF(CONCATENATE(IF(X76="Yes","DCA / ",""),IF(X77="Yes",Z77,""))="","Not evaluated",CONCATENATE(IF(X76="Yes","DCA / ",""),IF(X77="Yes",Z77,"")))),2)="/ ",LEFT(IF(X76="","",IF(CONCATENATE(IF(X76="Yes","DCA / ",""),IF(X77="Yes",Z77,""))="","Not evaluated",CONCATENATE(IF(X76="Yes","DCA / ",""),IF(X77="Yes",Z77,"")))),LEN(IF(X76="","",IF(CONCATENATE(IF(X76="Yes","DCA / ",""),IF(X77="Yes",Z77,""))="","Not evaluated",CONCATENATE(IF(X76="Yes","DCA / ",""),IF(X77="Yes",Z77,"")))))-2),IF(X76="","",IF(CONCATENATE(IF(X76="Yes","DCA / ",""),IF(X77="Yes",Z77,""))="","Not evaluated",CONCATENATE(IF(X76="Yes","DCA / ",""),IF(X77="Yes",Z77,"")))))</f>
        <v>Not evaluated</v>
      </c>
      <c r="Y75" s="360"/>
      <c r="Z75" s="360"/>
      <c r="AA75" s="360" t="str">
        <f t="shared" ref="AA75" si="6">IF(RIGHT(IF(AA76="","",IF(CONCATENATE(IF(AA76="Yes","DCA / ",""),IF(AA77="Yes",AC77,""))="","Not evaluated",CONCATENATE(IF(AA76="Yes","DCA / ",""),IF(AA77="Yes",AC77,"")))),2)="/ ",LEFT(IF(AA76="","",IF(CONCATENATE(IF(AA76="Yes","DCA / ",""),IF(AA77="Yes",AC77,""))="","Not evaluated",CONCATENATE(IF(AA76="Yes","DCA / ",""),IF(AA77="Yes",AC77,"")))),LEN(IF(AA76="","",IF(CONCATENATE(IF(AA76="Yes","DCA / ",""),IF(AA77="Yes",AC77,""))="","Not evaluated",CONCATENATE(IF(AA76="Yes","DCA / ",""),IF(AA77="Yes",AC77,"")))))-2),IF(AA76="","",IF(CONCATENATE(IF(AA76="Yes","DCA / ",""),IF(AA77="Yes",AC77,""))="","Not evaluated",CONCATENATE(IF(AA76="Yes","DCA / ",""),IF(AA77="Yes",AC77,"")))))</f>
        <v>Not evaluated</v>
      </c>
      <c r="AB75" s="360"/>
      <c r="AC75" s="360"/>
      <c r="AD75" s="360" t="str">
        <f t="shared" ref="AD75" si="7">IF(RIGHT(IF(AD76="","",IF(CONCATENATE(IF(AD76="Yes","DCA / ",""),IF(AD77="Yes",AF77,""))="","Not evaluated",CONCATENATE(IF(AD76="Yes","DCA / ",""),IF(AD77="Yes",AF77,"")))),2)="/ ",LEFT(IF(AD76="","",IF(CONCATENATE(IF(AD76="Yes","DCA / ",""),IF(AD77="Yes",AF77,""))="","Not evaluated",CONCATENATE(IF(AD76="Yes","DCA / ",""),IF(AD77="Yes",AF77,"")))),LEN(IF(AD76="","",IF(CONCATENATE(IF(AD76="Yes","DCA / ",""),IF(AD77="Yes",AF77,""))="","Not evaluated",CONCATENATE(IF(AD76="Yes","DCA / ",""),IF(AD77="Yes",AF77,"")))))-2),IF(AD76="","",IF(CONCATENATE(IF(AD76="Yes","DCA / ",""),IF(AD77="Yes",AF77,""))="","Not evaluated",CONCATENATE(IF(AD76="Yes","DCA / ",""),IF(AD77="Yes",AF77,"")))))</f>
        <v>Not evaluated</v>
      </c>
      <c r="AE75" s="360"/>
      <c r="AF75" s="360"/>
      <c r="AG75" s="360" t="str">
        <f t="shared" ref="AG75" si="8">IF(RIGHT(IF(AG76="","",IF(CONCATENATE(IF(AG76="Yes","DCA / ",""),IF(AG77="Yes",AI77,""))="","Not evaluated",CONCATENATE(IF(AG76="Yes","DCA / ",""),IF(AG77="Yes",AI77,"")))),2)="/ ",LEFT(IF(AG76="","",IF(CONCATENATE(IF(AG76="Yes","DCA / ",""),IF(AG77="Yes",AI77,""))="","Not evaluated",CONCATENATE(IF(AG76="Yes","DCA / ",""),IF(AG77="Yes",AI77,"")))),LEN(IF(AG76="","",IF(CONCATENATE(IF(AG76="Yes","DCA / ",""),IF(AG77="Yes",AI77,""))="","Not evaluated",CONCATENATE(IF(AG76="Yes","DCA / ",""),IF(AG77="Yes",AI77,"")))))-2),IF(AG76="","",IF(CONCATENATE(IF(AG76="Yes","DCA / ",""),IF(AG77="Yes",AI77,""))="","Not evaluated",CONCATENATE(IF(AG76="Yes","DCA / ",""),IF(AG77="Yes",AI77,"")))))</f>
        <v>Not evaluated</v>
      </c>
      <c r="AH75" s="360"/>
      <c r="AI75" s="360"/>
      <c r="AJ75" s="360" t="str">
        <f t="shared" ref="AJ75" si="9">IF(RIGHT(IF(AJ76="","",IF(CONCATENATE(IF(AJ76="Yes","DCA / ",""),IF(AJ77="Yes",AL77,""))="","Not evaluated",CONCATENATE(IF(AJ76="Yes","DCA / ",""),IF(AJ77="Yes",AL77,"")))),2)="/ ",LEFT(IF(AJ76="","",IF(CONCATENATE(IF(AJ76="Yes","DCA / ",""),IF(AJ77="Yes",AL77,""))="","Not evaluated",CONCATENATE(IF(AJ76="Yes","DCA / ",""),IF(AJ77="Yes",AL77,"")))),LEN(IF(AJ76="","",IF(CONCATENATE(IF(AJ76="Yes","DCA / ",""),IF(AJ77="Yes",AL77,""))="","Not evaluated",CONCATENATE(IF(AJ76="Yes","DCA / ",""),IF(AJ77="Yes",AL77,"")))))-2),IF(AJ76="","",IF(CONCATENATE(IF(AJ76="Yes","DCA / ",""),IF(AJ77="Yes",AL77,""))="","Not evaluated",CONCATENATE(IF(AJ76="Yes","DCA / ",""),IF(AJ77="Yes",AL77,"")))))</f>
        <v>Not evaluated</v>
      </c>
      <c r="AK75" s="360"/>
      <c r="AL75" s="360"/>
      <c r="AM75" s="360" t="str">
        <f t="shared" ref="AM75" si="10">IF(RIGHT(IF(AM76="","",IF(CONCATENATE(IF(AM76="Yes","DCA / ",""),IF(AM77="Yes",AO77,""))="","Not evaluated",CONCATENATE(IF(AM76="Yes","DCA / ",""),IF(AM77="Yes",AO77,"")))),2)="/ ",LEFT(IF(AM76="","",IF(CONCATENATE(IF(AM76="Yes","DCA / ",""),IF(AM77="Yes",AO77,""))="","Not evaluated",CONCATENATE(IF(AM76="Yes","DCA / ",""),IF(AM77="Yes",AO77,"")))),LEN(IF(AM76="","",IF(CONCATENATE(IF(AM76="Yes","DCA / ",""),IF(AM77="Yes",AO77,""))="","Not evaluated",CONCATENATE(IF(AM76="Yes","DCA / ",""),IF(AM77="Yes",AO77,"")))))-2),IF(AM76="","",IF(CONCATENATE(IF(AM76="Yes","DCA / ",""),IF(AM77="Yes",AO77,""))="","Not evaluated",CONCATENATE(IF(AM76="Yes","DCA / ",""),IF(AM77="Yes",AO77,"")))))</f>
        <v/>
      </c>
      <c r="AN75" s="360"/>
      <c r="AO75" s="360"/>
      <c r="AP75" s="360" t="str">
        <f t="shared" ref="AP75" si="11">IF(RIGHT(IF(AP76="","",IF(CONCATENATE(IF(AP76="Yes","DCA / ",""),IF(AP77="Yes",AR77,""))="","Not evaluated",CONCATENATE(IF(AP76="Yes","DCA / ",""),IF(AP77="Yes",AR77,"")))),2)="/ ",LEFT(IF(AP76="","",IF(CONCATENATE(IF(AP76="Yes","DCA / ",""),IF(AP77="Yes",AR77,""))="","Not evaluated",CONCATENATE(IF(AP76="Yes","DCA / ",""),IF(AP77="Yes",AR77,"")))),LEN(IF(AP76="","",IF(CONCATENATE(IF(AP76="Yes","DCA / ",""),IF(AP77="Yes",AR77,""))="","Not evaluated",CONCATENATE(IF(AP76="Yes","DCA / ",""),IF(AP77="Yes",AR77,"")))))-2),IF(AP76="","",IF(CONCATENATE(IF(AP76="Yes","DCA / ",""),IF(AP77="Yes",AR77,""))="","Not evaluated",CONCATENATE(IF(AP76="Yes","DCA / ",""),IF(AP77="Yes",AR77,"")))))</f>
        <v/>
      </c>
      <c r="AQ75" s="360"/>
      <c r="AR75" s="360"/>
      <c r="AS75" s="360" t="str">
        <f t="shared" ref="AS75" si="12">IF(RIGHT(IF(AS76="","",IF(CONCATENATE(IF(AS76="Yes","DCA / ",""),IF(AS77="Yes",AU77,""))="","Not evaluated",CONCATENATE(IF(AS76="Yes","DCA / ",""),IF(AS77="Yes",AU77,"")))),2)="/ ",LEFT(IF(AS76="","",IF(CONCATENATE(IF(AS76="Yes","DCA / ",""),IF(AS77="Yes",AU77,""))="","Not evaluated",CONCATENATE(IF(AS76="Yes","DCA / ",""),IF(AS77="Yes",AU77,"")))),LEN(IF(AS76="","",IF(CONCATENATE(IF(AS76="Yes","DCA / ",""),IF(AS77="Yes",AU77,""))="","Not evaluated",CONCATENATE(IF(AS76="Yes","DCA / ",""),IF(AS77="Yes",AU77,"")))))-2),IF(AS76="","",IF(CONCATENATE(IF(AS76="Yes","DCA / ",""),IF(AS77="Yes",AU77,""))="","Not evaluated",CONCATENATE(IF(AS76="Yes","DCA / ",""),IF(AS77="Yes",AU77,"")))))</f>
        <v/>
      </c>
      <c r="AT75" s="360"/>
      <c r="AU75" s="360"/>
      <c r="AV75" s="360" t="str">
        <f t="shared" ref="AV75" si="13">IF(RIGHT(IF(AV76="","",IF(CONCATENATE(IF(AV76="Yes","DCA / ",""),IF(AV77="Yes",AX77,""))="","Not evaluated",CONCATENATE(IF(AV76="Yes","DCA / ",""),IF(AV77="Yes",AX77,"")))),2)="/ ",LEFT(IF(AV76="","",IF(CONCATENATE(IF(AV76="Yes","DCA / ",""),IF(AV77="Yes",AX77,""))="","Not evaluated",CONCATENATE(IF(AV76="Yes","DCA / ",""),IF(AV77="Yes",AX77,"")))),LEN(IF(AV76="","",IF(CONCATENATE(IF(AV76="Yes","DCA / ",""),IF(AV77="Yes",AX77,""))="","Not evaluated",CONCATENATE(IF(AV76="Yes","DCA / ",""),IF(AV77="Yes",AX77,"")))))-2),IF(AV76="","",IF(CONCATENATE(IF(AV76="Yes","DCA / ",""),IF(AV77="Yes",AX77,""))="","Not evaluated",CONCATENATE(IF(AV76="Yes","DCA / ",""),IF(AV77="Yes",AX77,"")))))</f>
        <v/>
      </c>
      <c r="AW75" s="360"/>
      <c r="AX75" s="360"/>
      <c r="AY75" s="360" t="str">
        <f t="shared" ref="AY75" si="14">IF(RIGHT(IF(AY76="","",IF(CONCATENATE(IF(AY76="Yes","DCA / ",""),IF(AY77="Yes",BA77,""))="","Not evaluated",CONCATENATE(IF(AY76="Yes","DCA / ",""),IF(AY77="Yes",BA77,"")))),2)="/ ",LEFT(IF(AY76="","",IF(CONCATENATE(IF(AY76="Yes","DCA / ",""),IF(AY77="Yes",BA77,""))="","Not evaluated",CONCATENATE(IF(AY76="Yes","DCA / ",""),IF(AY77="Yes",BA77,"")))),LEN(IF(AY76="","",IF(CONCATENATE(IF(AY76="Yes","DCA / ",""),IF(AY77="Yes",BA77,""))="","Not evaluated",CONCATENATE(IF(AY76="Yes","DCA / ",""),IF(AY77="Yes",BA77,"")))))-2),IF(AY76="","",IF(CONCATENATE(IF(AY76="Yes","DCA / ",""),IF(AY77="Yes",BA77,""))="","Not evaluated",CONCATENATE(IF(AY76="Yes","DCA / ",""),IF(AY77="Yes",BA77,"")))))</f>
        <v/>
      </c>
      <c r="AZ75" s="360"/>
      <c r="BA75" s="360"/>
      <c r="BB75" s="360" t="str">
        <f t="shared" ref="BB75" si="15">IF(RIGHT(IF(BB76="","",IF(CONCATENATE(IF(BB76="Yes","DCA / ",""),IF(BB77="Yes",BD77,""))="","Not evaluated",CONCATENATE(IF(BB76="Yes","DCA / ",""),IF(BB77="Yes",BD77,"")))),2)="/ ",LEFT(IF(BB76="","",IF(CONCATENATE(IF(BB76="Yes","DCA / ",""),IF(BB77="Yes",BD77,""))="","Not evaluated",CONCATENATE(IF(BB76="Yes","DCA / ",""),IF(BB77="Yes",BD77,"")))),LEN(IF(BB76="","",IF(CONCATENATE(IF(BB76="Yes","DCA / ",""),IF(BB77="Yes",BD77,""))="","Not evaluated",CONCATENATE(IF(BB76="Yes","DCA / ",""),IF(BB77="Yes",BD77,"")))))-2),IF(BB76="","",IF(CONCATENATE(IF(BB76="Yes","DCA / ",""),IF(BB77="Yes",BD77,""))="","Not evaluated",CONCATENATE(IF(BB76="Yes","DCA / ",""),IF(BB77="Yes",BD77,"")))))</f>
        <v/>
      </c>
      <c r="BC75" s="360"/>
      <c r="BD75" s="360"/>
      <c r="BE75" s="360" t="str">
        <f t="shared" ref="BE75" si="16">IF(RIGHT(IF(BE76="","",IF(CONCATENATE(IF(BE76="Yes","DCA / ",""),IF(BE77="Yes",BG77,""))="","Not evaluated",CONCATENATE(IF(BE76="Yes","DCA / ",""),IF(BE77="Yes",BG77,"")))),2)="/ ",LEFT(IF(BE76="","",IF(CONCATENATE(IF(BE76="Yes","DCA / ",""),IF(BE77="Yes",BG77,""))="","Not evaluated",CONCATENATE(IF(BE76="Yes","DCA / ",""),IF(BE77="Yes",BG77,"")))),LEN(IF(BE76="","",IF(CONCATENATE(IF(BE76="Yes","DCA / ",""),IF(BE77="Yes",BG77,""))="","Not evaluated",CONCATENATE(IF(BE76="Yes","DCA / ",""),IF(BE77="Yes",BG77,"")))))-2),IF(BE76="","",IF(CONCATENATE(IF(BE76="Yes","DCA / ",""),IF(BE77="Yes",BG77,""))="","Not evaluated",CONCATENATE(IF(BE76="Yes","DCA / ",""),IF(BE77="Yes",BG77,"")))))</f>
        <v/>
      </c>
      <c r="BF75" s="360"/>
      <c r="BG75" s="360"/>
      <c r="BH75" s="360" t="str">
        <f t="shared" ref="BH75" si="17">IF(RIGHT(IF(BH76="","",IF(CONCATENATE(IF(BH76="Yes","DCA / ",""),IF(BH77="Yes",BJ77,""))="","Not evaluated",CONCATENATE(IF(BH76="Yes","DCA / ",""),IF(BH77="Yes",BJ77,"")))),2)="/ ",LEFT(IF(BH76="","",IF(CONCATENATE(IF(BH76="Yes","DCA / ",""),IF(BH77="Yes",BJ77,""))="","Not evaluated",CONCATENATE(IF(BH76="Yes","DCA / ",""),IF(BH77="Yes",BJ77,"")))),LEN(IF(BH76="","",IF(CONCATENATE(IF(BH76="Yes","DCA / ",""),IF(BH77="Yes",BJ77,""))="","Not evaluated",CONCATENATE(IF(BH76="Yes","DCA / ",""),IF(BH77="Yes",BJ77,"")))))-2),IF(BH76="","",IF(CONCATENATE(IF(BH76="Yes","DCA / ",""),IF(BH77="Yes",BJ77,""))="","Not evaluated",CONCATENATE(IF(BH76="Yes","DCA / ",""),IF(BH77="Yes",BJ77,"")))))</f>
        <v/>
      </c>
      <c r="BI75" s="360"/>
      <c r="BJ75" s="360"/>
      <c r="BK75" s="360" t="str">
        <f t="shared" ref="BK75" si="18">IF(RIGHT(IF(BK76="","",IF(CONCATENATE(IF(BK76="Yes","DCA / ",""),IF(BK77="Yes",BM77,""))="","Not evaluated",CONCATENATE(IF(BK76="Yes","DCA / ",""),IF(BK77="Yes",BM77,"")))),2)="/ ",LEFT(IF(BK76="","",IF(CONCATENATE(IF(BK76="Yes","DCA / ",""),IF(BK77="Yes",BM77,""))="","Not evaluated",CONCATENATE(IF(BK76="Yes","DCA / ",""),IF(BK77="Yes",BM77,"")))),LEN(IF(BK76="","",IF(CONCATENATE(IF(BK76="Yes","DCA / ",""),IF(BK77="Yes",BM77,""))="","Not evaluated",CONCATENATE(IF(BK76="Yes","DCA / ",""),IF(BK77="Yes",BM77,"")))))-2),IF(BK76="","",IF(CONCATENATE(IF(BK76="Yes","DCA / ",""),IF(BK77="Yes",BM77,""))="","Not evaluated",CONCATENATE(IF(BK76="Yes","DCA / ",""),IF(BK77="Yes",BM77,"")))))</f>
        <v/>
      </c>
      <c r="BL75" s="360"/>
      <c r="BM75" s="360"/>
      <c r="BN75" s="360" t="str">
        <f t="shared" ref="BN75" si="19">IF(RIGHT(IF(BN76="","",IF(CONCATENATE(IF(BN76="Yes","DCA / ",""),IF(BN77="Yes",BP77,""))="","Not evaluated",CONCATENATE(IF(BN76="Yes","DCA / ",""),IF(BN77="Yes",BP77,"")))),2)="/ ",LEFT(IF(BN76="","",IF(CONCATENATE(IF(BN76="Yes","DCA / ",""),IF(BN77="Yes",BP77,""))="","Not evaluated",CONCATENATE(IF(BN76="Yes","DCA / ",""),IF(BN77="Yes",BP77,"")))),LEN(IF(BN76="","",IF(CONCATENATE(IF(BN76="Yes","DCA / ",""),IF(BN77="Yes",BP77,""))="","Not evaluated",CONCATENATE(IF(BN76="Yes","DCA / ",""),IF(BN77="Yes",BP77,"")))))-2),IF(BN76="","",IF(CONCATENATE(IF(BN76="Yes","DCA / ",""),IF(BN77="Yes",BP77,""))="","Not evaluated",CONCATENATE(IF(BN76="Yes","DCA / ",""),IF(BN77="Yes",BP77,"")))))</f>
        <v/>
      </c>
      <c r="BO75" s="360"/>
      <c r="BP75" s="360"/>
      <c r="BQ75" s="360" t="str">
        <f t="shared" ref="BQ75" si="20">IF(RIGHT(IF(BQ76="","",IF(CONCATENATE(IF(BQ76="Yes","DCA / ",""),IF(BQ77="Yes",BS77,""))="","Not evaluated",CONCATENATE(IF(BQ76="Yes","DCA / ",""),IF(BQ77="Yes",BS77,"")))),2)="/ ",LEFT(IF(BQ76="","",IF(CONCATENATE(IF(BQ76="Yes","DCA / ",""),IF(BQ77="Yes",BS77,""))="","Not evaluated",CONCATENATE(IF(BQ76="Yes","DCA / ",""),IF(BQ77="Yes",BS77,"")))),LEN(IF(BQ76="","",IF(CONCATENATE(IF(BQ76="Yes","DCA / ",""),IF(BQ77="Yes",BS77,""))="","Not evaluated",CONCATENATE(IF(BQ76="Yes","DCA / ",""),IF(BQ77="Yes",BS77,"")))))-2),IF(BQ76="","",IF(CONCATENATE(IF(BQ76="Yes","DCA / ",""),IF(BQ77="Yes",BS77,""))="","Not evaluated",CONCATENATE(IF(BQ76="Yes","DCA / ",""),IF(BQ77="Yes",BS77,"")))))</f>
        <v/>
      </c>
      <c r="BR75" s="360"/>
      <c r="BS75" s="360"/>
      <c r="BT75" s="360" t="str">
        <f t="shared" ref="BT75" si="21">IF(RIGHT(IF(BT76="","",IF(CONCATENATE(IF(BT76="Yes","DCA / ",""),IF(BT77="Yes",BV77,""))="","Not evaluated",CONCATENATE(IF(BT76="Yes","DCA / ",""),IF(BT77="Yes",BV77,"")))),2)="/ ",LEFT(IF(BT76="","",IF(CONCATENATE(IF(BT76="Yes","DCA / ",""),IF(BT77="Yes",BV77,""))="","Not evaluated",CONCATENATE(IF(BT76="Yes","DCA / ",""),IF(BT77="Yes",BV77,"")))),LEN(IF(BT76="","",IF(CONCATENATE(IF(BT76="Yes","DCA / ",""),IF(BT77="Yes",BV77,""))="","Not evaluated",CONCATENATE(IF(BT76="Yes","DCA / ",""),IF(BT77="Yes",BV77,"")))))-2),IF(BT76="","",IF(CONCATENATE(IF(BT76="Yes","DCA / ",""),IF(BT77="Yes",BV77,""))="","Not evaluated",CONCATENATE(IF(BT76="Yes","DCA / ",""),IF(BT77="Yes",BV77,"")))))</f>
        <v/>
      </c>
      <c r="BU75" s="360"/>
      <c r="BV75" s="360"/>
      <c r="BW75" s="360" t="str">
        <f t="shared" ref="BW75" si="22">IF(RIGHT(IF(BW76="","",IF(CONCATENATE(IF(BW76="Yes","DCA / ",""),IF(BW77="Yes",BY77,""))="","Not evaluated",CONCATENATE(IF(BW76="Yes","DCA / ",""),IF(BW77="Yes",BY77,"")))),2)="/ ",LEFT(IF(BW76="","",IF(CONCATENATE(IF(BW76="Yes","DCA / ",""),IF(BW77="Yes",BY77,""))="","Not evaluated",CONCATENATE(IF(BW76="Yes","DCA / ",""),IF(BW77="Yes",BY77,"")))),LEN(IF(BW76="","",IF(CONCATENATE(IF(BW76="Yes","DCA / ",""),IF(BW77="Yes",BY77,""))="","Not evaluated",CONCATENATE(IF(BW76="Yes","DCA / ",""),IF(BW77="Yes",BY77,"")))))-2),IF(BW76="","",IF(CONCATENATE(IF(BW76="Yes","DCA / ",""),IF(BW77="Yes",BY77,""))="","Not evaluated",CONCATENATE(IF(BW76="Yes","DCA / ",""),IF(BW77="Yes",BY77,"")))))</f>
        <v/>
      </c>
      <c r="BX75" s="360"/>
      <c r="BY75" s="360"/>
      <c r="BZ75" s="360" t="str">
        <f t="shared" ref="BZ75" si="23">IF(RIGHT(IF(BZ76="","",IF(CONCATENATE(IF(BZ76="Yes","DCA / ",""),IF(BZ77="Yes",CB77,""))="","Not evaluated",CONCATENATE(IF(BZ76="Yes","DCA / ",""),IF(BZ77="Yes",CB77,"")))),2)="/ ",LEFT(IF(BZ76="","",IF(CONCATENATE(IF(BZ76="Yes","DCA / ",""),IF(BZ77="Yes",CB77,""))="","Not evaluated",CONCATENATE(IF(BZ76="Yes","DCA / ",""),IF(BZ77="Yes",CB77,"")))),LEN(IF(BZ76="","",IF(CONCATENATE(IF(BZ76="Yes","DCA / ",""),IF(BZ77="Yes",CB77,""))="","Not evaluated",CONCATENATE(IF(BZ76="Yes","DCA / ",""),IF(BZ77="Yes",CB77,"")))))-2),IF(BZ76="","",IF(CONCATENATE(IF(BZ76="Yes","DCA / ",""),IF(BZ77="Yes",CB77,""))="","Not evaluated",CONCATENATE(IF(BZ76="Yes","DCA / ",""),IF(BZ77="Yes",CB77,"")))))</f>
        <v/>
      </c>
      <c r="CA75" s="360"/>
      <c r="CB75" s="360"/>
      <c r="CC75" s="360" t="str">
        <f t="shared" ref="CC75" si="24">IF(RIGHT(IF(CC76="","",IF(CONCATENATE(IF(CC76="Yes","DCA / ",""),IF(CC77="Yes",CE77,""))="","Not evaluated",CONCATENATE(IF(CC76="Yes","DCA / ",""),IF(CC77="Yes",CE77,"")))),2)="/ ",LEFT(IF(CC76="","",IF(CONCATENATE(IF(CC76="Yes","DCA / ",""),IF(CC77="Yes",CE77,""))="","Not evaluated",CONCATENATE(IF(CC76="Yes","DCA / ",""),IF(CC77="Yes",CE77,"")))),LEN(IF(CC76="","",IF(CONCATENATE(IF(CC76="Yes","DCA / ",""),IF(CC77="Yes",CE77,""))="","Not evaluated",CONCATENATE(IF(CC76="Yes","DCA / ",""),IF(CC77="Yes",CE77,"")))))-2),IF(CC76="","",IF(CONCATENATE(IF(CC76="Yes","DCA / ",""),IF(CC77="Yes",CE77,""))="","Not evaluated",CONCATENATE(IF(CC76="Yes","DCA / ",""),IF(CC77="Yes",CE77,"")))))</f>
        <v/>
      </c>
      <c r="CD75" s="360"/>
      <c r="CE75" s="360"/>
      <c r="CF75" s="360" t="str">
        <f t="shared" ref="CF75" si="25">IF(RIGHT(IF(CF76="","",IF(CONCATENATE(IF(CF76="Yes","DCA / ",""),IF(CF77="Yes",CH77,""))="","Not evaluated",CONCATENATE(IF(CF76="Yes","DCA / ",""),IF(CF77="Yes",CH77,"")))),2)="/ ",LEFT(IF(CF76="","",IF(CONCATENATE(IF(CF76="Yes","DCA / ",""),IF(CF77="Yes",CH77,""))="","Not evaluated",CONCATENATE(IF(CF76="Yes","DCA / ",""),IF(CF77="Yes",CH77,"")))),LEN(IF(CF76="","",IF(CONCATENATE(IF(CF76="Yes","DCA / ",""),IF(CF77="Yes",CH77,""))="","Not evaluated",CONCATENATE(IF(CF76="Yes","DCA / ",""),IF(CF77="Yes",CH77,"")))))-2),IF(CF76="","",IF(CONCATENATE(IF(CF76="Yes","DCA / ",""),IF(CF77="Yes",CH77,""))="","Not evaluated",CONCATENATE(IF(CF76="Yes","DCA / ",""),IF(CF77="Yes",CH77,"")))))</f>
        <v/>
      </c>
      <c r="CG75" s="360"/>
      <c r="CH75" s="360"/>
      <c r="CI75" s="360" t="str">
        <f t="shared" ref="CI75" si="26">IF(RIGHT(IF(CI76="","",IF(CONCATENATE(IF(CI76="Yes","DCA / ",""),IF(CI77="Yes",CK77,""))="","Not evaluated",CONCATENATE(IF(CI76="Yes","DCA / ",""),IF(CI77="Yes",CK77,"")))),2)="/ ",LEFT(IF(CI76="","",IF(CONCATENATE(IF(CI76="Yes","DCA / ",""),IF(CI77="Yes",CK77,""))="","Not evaluated",CONCATENATE(IF(CI76="Yes","DCA / ",""),IF(CI77="Yes",CK77,"")))),LEN(IF(CI76="","",IF(CONCATENATE(IF(CI76="Yes","DCA / ",""),IF(CI77="Yes",CK77,""))="","Not evaluated",CONCATENATE(IF(CI76="Yes","DCA / ",""),IF(CI77="Yes",CK77,"")))))-2),IF(CI76="","",IF(CONCATENATE(IF(CI76="Yes","DCA / ",""),IF(CI77="Yes",CK77,""))="","Not evaluated",CONCATENATE(IF(CI76="Yes","DCA / ",""),IF(CI77="Yes",CK77,"")))))</f>
        <v/>
      </c>
      <c r="CJ75" s="360"/>
      <c r="CK75" s="360"/>
      <c r="CL75" s="360" t="str">
        <f t="shared" ref="CL75" si="27">IF(RIGHT(IF(CL76="","",IF(CONCATENATE(IF(CL76="Yes","DCA / ",""),IF(CL77="Yes",CN77,""))="","Not evaluated",CONCATENATE(IF(CL76="Yes","DCA / ",""),IF(CL77="Yes",CN77,"")))),2)="/ ",LEFT(IF(CL76="","",IF(CONCATENATE(IF(CL76="Yes","DCA / ",""),IF(CL77="Yes",CN77,""))="","Not evaluated",CONCATENATE(IF(CL76="Yes","DCA / ",""),IF(CL77="Yes",CN77,"")))),LEN(IF(CL76="","",IF(CONCATENATE(IF(CL76="Yes","DCA / ",""),IF(CL77="Yes",CN77,""))="","Not evaluated",CONCATENATE(IF(CL76="Yes","DCA / ",""),IF(CL77="Yes",CN77,"")))))-2),IF(CL76="","",IF(CONCATENATE(IF(CL76="Yes","DCA / ",""),IF(CL77="Yes",CN77,""))="","Not evaluated",CONCATENATE(IF(CL76="Yes","DCA / ",""),IF(CL77="Yes",CN77,"")))))</f>
        <v/>
      </c>
      <c r="CM75" s="360"/>
      <c r="CN75" s="361"/>
      <c r="CO75" s="359" t="str">
        <f t="shared" ref="CO75" si="28">IF(RIGHT(IF(CO76="","",IF(CONCATENATE(IF(CO76="Yes","DCA / ",""),IF(CO77="Yes",CQ77,""))="","Not evaluated",CONCATENATE(IF(CO76="Yes","DCA / ",""),IF(CO77="Yes",CQ77,"")))),2)="/ ",LEFT(IF(CO76="","",IF(CONCATENATE(IF(CO76="Yes","DCA / ",""),IF(CO77="Yes",CQ77,""))="","Not evaluated",CONCATENATE(IF(CO76="Yes","DCA / ",""),IF(CO77="Yes",CQ77,"")))),LEN(IF(CO76="","",IF(CONCATENATE(IF(CO76="Yes","DCA / ",""),IF(CO77="Yes",CQ77,""))="","Not evaluated",CONCATENATE(IF(CO76="Yes","DCA / ",""),IF(CO77="Yes",CQ77,"")))))-2),IF(CO76="","",IF(CONCATENATE(IF(CO76="Yes","DCA / ",""),IF(CO77="Yes",CQ77,""))="","Not evaluated",CONCATENATE(IF(CO76="Yes","DCA / ",""),IF(CO77="Yes",CQ77,"")))))</f>
        <v/>
      </c>
      <c r="CP75" s="360"/>
      <c r="CQ75" s="360"/>
    </row>
    <row r="76" spans="1:95" s="13" customFormat="1" ht="15" customHeight="1" x14ac:dyDescent="0.3">
      <c r="A76" s="62"/>
      <c r="B76" s="62" t="s">
        <v>36</v>
      </c>
      <c r="C76" s="62"/>
      <c r="D76" s="343" t="s">
        <v>150</v>
      </c>
      <c r="E76" s="347"/>
      <c r="F76" s="320" t="s">
        <v>88</v>
      </c>
      <c r="G76" s="320"/>
      <c r="H76" s="320"/>
      <c r="I76" s="320" t="s">
        <v>88</v>
      </c>
      <c r="J76" s="320"/>
      <c r="K76" s="320"/>
      <c r="L76" s="320" t="s">
        <v>88</v>
      </c>
      <c r="M76" s="320"/>
      <c r="N76" s="320"/>
      <c r="O76" s="320" t="s">
        <v>88</v>
      </c>
      <c r="P76" s="320"/>
      <c r="Q76" s="320"/>
      <c r="R76" s="320" t="s">
        <v>88</v>
      </c>
      <c r="S76" s="320"/>
      <c r="T76" s="320"/>
      <c r="U76" s="320" t="s">
        <v>88</v>
      </c>
      <c r="V76" s="320"/>
      <c r="W76" s="320"/>
      <c r="X76" s="320" t="s">
        <v>88</v>
      </c>
      <c r="Y76" s="320"/>
      <c r="Z76" s="320"/>
      <c r="AA76" s="320" t="s">
        <v>88</v>
      </c>
      <c r="AB76" s="320"/>
      <c r="AC76" s="320"/>
      <c r="AD76" s="320" t="s">
        <v>88</v>
      </c>
      <c r="AE76" s="320"/>
      <c r="AF76" s="320"/>
      <c r="AG76" s="320" t="s">
        <v>88</v>
      </c>
      <c r="AH76" s="320"/>
      <c r="AI76" s="320"/>
      <c r="AJ76" s="320" t="s">
        <v>88</v>
      </c>
      <c r="AK76" s="320"/>
      <c r="AL76" s="320"/>
      <c r="AM76" s="320"/>
      <c r="AN76" s="320"/>
      <c r="AO76" s="320"/>
      <c r="AP76" s="320"/>
      <c r="AQ76" s="320"/>
      <c r="AR76" s="320"/>
      <c r="AS76" s="320"/>
      <c r="AT76" s="320"/>
      <c r="AU76" s="320"/>
      <c r="AV76" s="320"/>
      <c r="AW76" s="320"/>
      <c r="AX76" s="320"/>
      <c r="AY76" s="320"/>
      <c r="AZ76" s="320"/>
      <c r="BA76" s="320"/>
      <c r="BB76" s="320"/>
      <c r="BC76" s="320"/>
      <c r="BD76" s="320"/>
      <c r="BE76" s="320"/>
      <c r="BF76" s="320"/>
      <c r="BG76" s="320"/>
      <c r="BH76" s="320"/>
      <c r="BI76" s="320"/>
      <c r="BJ76" s="320"/>
      <c r="BK76" s="320"/>
      <c r="BL76" s="320"/>
      <c r="BM76" s="320"/>
      <c r="BN76" s="320"/>
      <c r="BO76" s="320"/>
      <c r="BP76" s="320"/>
      <c r="BQ76" s="320"/>
      <c r="BR76" s="320"/>
      <c r="BS76" s="320"/>
      <c r="BT76" s="320"/>
      <c r="BU76" s="320"/>
      <c r="BV76" s="320"/>
      <c r="BW76" s="320"/>
      <c r="BX76" s="320"/>
      <c r="BY76" s="320"/>
      <c r="BZ76" s="320"/>
      <c r="CA76" s="320"/>
      <c r="CB76" s="320"/>
      <c r="CC76" s="320"/>
      <c r="CD76" s="320"/>
      <c r="CE76" s="320"/>
      <c r="CF76" s="320"/>
      <c r="CG76" s="320"/>
      <c r="CH76" s="320"/>
      <c r="CI76" s="320"/>
      <c r="CJ76" s="320"/>
      <c r="CK76" s="320"/>
      <c r="CL76" s="320"/>
      <c r="CM76" s="320"/>
      <c r="CN76" s="321"/>
      <c r="CO76" s="319"/>
      <c r="CP76" s="320"/>
      <c r="CQ76" s="320"/>
    </row>
    <row r="77" spans="1:95" s="13" customFormat="1" ht="15" customHeight="1" x14ac:dyDescent="0.3">
      <c r="A77" s="62"/>
      <c r="B77" s="62" t="s">
        <v>36</v>
      </c>
      <c r="C77" s="62"/>
      <c r="D77" s="345" t="s">
        <v>151</v>
      </c>
      <c r="E77" s="346"/>
      <c r="F77" s="38" t="s">
        <v>88</v>
      </c>
      <c r="G77" s="52" t="s">
        <v>134</v>
      </c>
      <c r="H77" s="192"/>
      <c r="I77" s="191" t="s">
        <v>88</v>
      </c>
      <c r="J77" s="52" t="s">
        <v>134</v>
      </c>
      <c r="K77" s="192"/>
      <c r="L77" s="191" t="s">
        <v>88</v>
      </c>
      <c r="M77" s="52" t="s">
        <v>134</v>
      </c>
      <c r="N77" s="192"/>
      <c r="O77" s="191" t="s">
        <v>88</v>
      </c>
      <c r="P77" s="52" t="s">
        <v>134</v>
      </c>
      <c r="Q77" s="192"/>
      <c r="R77" s="191" t="s">
        <v>88</v>
      </c>
      <c r="S77" s="52" t="s">
        <v>134</v>
      </c>
      <c r="T77" s="192" t="s">
        <v>420</v>
      </c>
      <c r="U77" s="191" t="s">
        <v>88</v>
      </c>
      <c r="V77" s="52" t="s">
        <v>134</v>
      </c>
      <c r="W77" s="192"/>
      <c r="X77" s="191" t="s">
        <v>88</v>
      </c>
      <c r="Y77" s="52" t="s">
        <v>134</v>
      </c>
      <c r="Z77" s="192"/>
      <c r="AA77" s="191" t="s">
        <v>88</v>
      </c>
      <c r="AB77" s="52" t="s">
        <v>134</v>
      </c>
      <c r="AC77" s="192"/>
      <c r="AD77" s="191" t="s">
        <v>88</v>
      </c>
      <c r="AE77" s="52" t="s">
        <v>134</v>
      </c>
      <c r="AF77" s="192"/>
      <c r="AG77" s="191" t="s">
        <v>88</v>
      </c>
      <c r="AH77" s="52" t="s">
        <v>134</v>
      </c>
      <c r="AI77" s="192"/>
      <c r="AJ77" s="191" t="s">
        <v>88</v>
      </c>
      <c r="AK77" s="52" t="s">
        <v>134</v>
      </c>
      <c r="AL77" s="192"/>
      <c r="AM77" s="191"/>
      <c r="AN77" s="52" t="s">
        <v>134</v>
      </c>
      <c r="AO77" s="192"/>
      <c r="AP77" s="191"/>
      <c r="AQ77" s="52" t="s">
        <v>134</v>
      </c>
      <c r="AR77" s="192"/>
      <c r="AS77" s="191"/>
      <c r="AT77" s="52" t="s">
        <v>134</v>
      </c>
      <c r="AU77" s="192"/>
      <c r="AV77" s="191"/>
      <c r="AW77" s="52" t="s">
        <v>134</v>
      </c>
      <c r="AX77" s="192"/>
      <c r="AY77" s="191"/>
      <c r="AZ77" s="52" t="s">
        <v>134</v>
      </c>
      <c r="BA77" s="192"/>
      <c r="BB77" s="191"/>
      <c r="BC77" s="52" t="s">
        <v>134</v>
      </c>
      <c r="BD77" s="192"/>
      <c r="BE77" s="191"/>
      <c r="BF77" s="52" t="s">
        <v>134</v>
      </c>
      <c r="BG77" s="192"/>
      <c r="BH77" s="191"/>
      <c r="BI77" s="52" t="s">
        <v>134</v>
      </c>
      <c r="BJ77" s="192"/>
      <c r="BK77" s="191"/>
      <c r="BL77" s="52" t="s">
        <v>134</v>
      </c>
      <c r="BM77" s="192"/>
      <c r="BN77" s="191"/>
      <c r="BO77" s="52" t="s">
        <v>134</v>
      </c>
      <c r="BP77" s="192"/>
      <c r="BQ77" s="191"/>
      <c r="BR77" s="52" t="s">
        <v>134</v>
      </c>
      <c r="BS77" s="192"/>
      <c r="BT77" s="191"/>
      <c r="BU77" s="52" t="s">
        <v>134</v>
      </c>
      <c r="BV77" s="192"/>
      <c r="BW77" s="191"/>
      <c r="BX77" s="52" t="s">
        <v>134</v>
      </c>
      <c r="BY77" s="192"/>
      <c r="BZ77" s="191"/>
      <c r="CA77" s="52" t="s">
        <v>134</v>
      </c>
      <c r="CB77" s="192"/>
      <c r="CC77" s="191"/>
      <c r="CD77" s="52" t="s">
        <v>134</v>
      </c>
      <c r="CE77" s="192"/>
      <c r="CF77" s="191"/>
      <c r="CG77" s="52" t="s">
        <v>134</v>
      </c>
      <c r="CH77" s="192"/>
      <c r="CI77" s="191"/>
      <c r="CJ77" s="52" t="s">
        <v>134</v>
      </c>
      <c r="CK77" s="192"/>
      <c r="CL77" s="191"/>
      <c r="CM77" s="52" t="s">
        <v>134</v>
      </c>
      <c r="CN77" s="192"/>
      <c r="CO77" s="190"/>
      <c r="CP77" s="52" t="s">
        <v>134</v>
      </c>
      <c r="CQ77" s="192"/>
    </row>
    <row r="78" spans="1:95" s="1" customFormat="1" ht="18.75" customHeight="1" x14ac:dyDescent="0.3">
      <c r="A78" s="337" t="s">
        <v>152</v>
      </c>
      <c r="B78" s="337"/>
      <c r="C78" s="337"/>
      <c r="D78" s="337"/>
      <c r="E78" s="337"/>
      <c r="F78" s="48">
        <f>IF(SUMMARY!$B$7=TRUE,IF(COUNTBLANK(F80:F82)&gt;0,0,1),"")</f>
        <v>1</v>
      </c>
      <c r="G78" s="49"/>
      <c r="H78" s="49"/>
      <c r="I78" s="50">
        <f>IF(SUMMARY!$B$8=TRUE,IF(COUNTBLANK(I80:I82)&gt;0,0,1),"")</f>
        <v>1</v>
      </c>
      <c r="J78" s="49"/>
      <c r="K78" s="49"/>
      <c r="L78" s="50">
        <f>IF(SUMMARY!$B$9=TRUE,IF(COUNTBLANK(L80:L82)&gt;0,0,1),"")</f>
        <v>1</v>
      </c>
      <c r="M78" s="49"/>
      <c r="N78" s="49"/>
      <c r="O78" s="50">
        <f>IF(SUMMARY!$B$10=TRUE,IF(COUNTBLANK(O80:O82)&gt;0,0,1),"")</f>
        <v>1</v>
      </c>
      <c r="P78" s="49"/>
      <c r="Q78" s="49"/>
      <c r="R78" s="50">
        <f>IF(SUMMARY!$B$11=TRUE,IF(COUNTBLANK(R80:R82)&gt;0,0,1),"")</f>
        <v>1</v>
      </c>
      <c r="S78" s="49"/>
      <c r="T78" s="49"/>
      <c r="U78" s="50">
        <f>IF(SUMMARY!$B$12=TRUE,IF(COUNTBLANK(U80:U82)&gt;0,0,1),"")</f>
        <v>1</v>
      </c>
      <c r="V78" s="49"/>
      <c r="W78" s="49"/>
      <c r="X78" s="50">
        <f>IF(SUMMARY!$B$13=TRUE,IF(COUNTBLANK(X80:X82)&gt;0,0,1),"")</f>
        <v>1</v>
      </c>
      <c r="Y78" s="49"/>
      <c r="Z78" s="49"/>
      <c r="AA78" s="50">
        <f>IF(SUMMARY!$B$14=TRUE,IF(COUNTBLANK(AA80:AA82)&gt;0,0,1),"")</f>
        <v>1</v>
      </c>
      <c r="AB78" s="49"/>
      <c r="AC78" s="49"/>
      <c r="AD78" s="50">
        <f>IF(SUMMARY!$B$15=TRUE,IF(COUNTBLANK(AD80:AD82)&gt;0,0,1),"")</f>
        <v>1</v>
      </c>
      <c r="AE78" s="49"/>
      <c r="AF78" s="49"/>
      <c r="AG78" s="50" t="str">
        <f>IF(SUMMARY!$B$16=TRUE,IF(COUNTBLANK(AG80:AG82)&gt;0,0,1),"")</f>
        <v/>
      </c>
      <c r="AH78" s="49"/>
      <c r="AI78" s="49"/>
      <c r="AJ78" s="50" t="str">
        <f>IF(SUMMARY!$B$17=TRUE,IF(COUNTBLANK(AJ80:AJ82)&gt;0,0,1),"")</f>
        <v/>
      </c>
      <c r="AK78" s="49"/>
      <c r="AL78" s="49"/>
      <c r="AM78" s="50" t="str">
        <f>IF(SUMMARY!$B$18=TRUE,IF(COUNTBLANK(AM80:AM82)&gt;0,0,1),"")</f>
        <v/>
      </c>
      <c r="AN78" s="49"/>
      <c r="AO78" s="49"/>
      <c r="AP78" s="50" t="str">
        <f>IF(SUMMARY!$B$19=TRUE,IF(COUNTBLANK(AP80:AP82)&gt;0,0,1),"")</f>
        <v/>
      </c>
      <c r="AQ78" s="49"/>
      <c r="AR78" s="49"/>
      <c r="AS78" s="50" t="str">
        <f>IF(SUMMARY!$B$20=TRUE,IF(COUNTBLANK(AS80:AS82)&gt;0,0,1),"")</f>
        <v/>
      </c>
      <c r="AT78" s="49"/>
      <c r="AU78" s="49"/>
      <c r="AV78" s="50" t="str">
        <f>IF(SUMMARY!$B$21=TRUE,IF(COUNTBLANK(AV80:AV82)&gt;0,0,1),"")</f>
        <v/>
      </c>
      <c r="AW78" s="49"/>
      <c r="AX78" s="49"/>
      <c r="AY78" s="50" t="str">
        <f>IF(SUMMARY!$B$22=TRUE,IF(COUNTBLANK(AY80:AY82)&gt;0,0,1),"")</f>
        <v/>
      </c>
      <c r="AZ78" s="49"/>
      <c r="BA78" s="49"/>
      <c r="BB78" s="50" t="str">
        <f>IF(SUMMARY!$B$23=TRUE,IF(COUNTBLANK(BB80:BB82)&gt;0,0,1),"")</f>
        <v/>
      </c>
      <c r="BC78" s="49"/>
      <c r="BD78" s="49"/>
      <c r="BE78" s="50" t="str">
        <f>IF(SUMMARY!$B$24=TRUE,IF(COUNTBLANK(BE80:BE82)&gt;0,0,1),"")</f>
        <v/>
      </c>
      <c r="BF78" s="49"/>
      <c r="BG78" s="49"/>
      <c r="BH78" s="50" t="str">
        <f>IF(SUMMARY!$B$25=TRUE,IF(COUNTBLANK(BH80:BH82)&gt;0,0,1),"")</f>
        <v/>
      </c>
      <c r="BI78" s="49"/>
      <c r="BJ78" s="49"/>
      <c r="BK78" s="50" t="str">
        <f>IF(SUMMARY!$B$26=TRUE,IF(COUNTBLANK(BK80:BK82)&gt;0,0,1),"")</f>
        <v/>
      </c>
      <c r="BL78" s="49"/>
      <c r="BM78" s="49"/>
      <c r="BN78" s="50" t="str">
        <f>IF(SUMMARY!$B$27=TRUE,IF(COUNTBLANK(BN80:BN82)&gt;0,0,1),"")</f>
        <v/>
      </c>
      <c r="BO78" s="49"/>
      <c r="BP78" s="49"/>
      <c r="BQ78" s="50" t="str">
        <f>IF(SUMMARY!$B$28=TRUE,IF(COUNTBLANK(BQ80:BQ82)&gt;0,0,1),"")</f>
        <v/>
      </c>
      <c r="BR78" s="49"/>
      <c r="BS78" s="49"/>
      <c r="BT78" s="50" t="str">
        <f>IF(SUMMARY!$B$29=TRUE,IF(COUNTBLANK(BT80:BT82)&gt;0,0,1),"")</f>
        <v/>
      </c>
      <c r="BU78" s="49"/>
      <c r="BV78" s="49"/>
      <c r="BW78" s="50" t="str">
        <f>IF(SUMMARY!$B$30=TRUE,IF(COUNTBLANK(BW80:BW82)&gt;0,0,1),"")</f>
        <v/>
      </c>
      <c r="BX78" s="49"/>
      <c r="BY78" s="49"/>
      <c r="BZ78" s="50" t="str">
        <f>IF(SUMMARY!$B$31=TRUE,IF(COUNTBLANK(BZ80:BZ82)&gt;0,0,1),"")</f>
        <v/>
      </c>
      <c r="CA78" s="49"/>
      <c r="CB78" s="49"/>
      <c r="CC78" s="50" t="str">
        <f>IF(SUMMARY!$B$32=TRUE,IF(COUNTBLANK(CC80:CC82)&gt;0,0,1),"")</f>
        <v/>
      </c>
      <c r="CD78" s="49"/>
      <c r="CE78" s="49"/>
      <c r="CF78" s="50" t="str">
        <f>IF(SUMMARY!$B$33=TRUE,IF(COUNTBLANK(CF80:CF82)&gt;0,0,1),"")</f>
        <v/>
      </c>
      <c r="CG78" s="49"/>
      <c r="CH78" s="49"/>
      <c r="CI78" s="50" t="str">
        <f>IF(SUMMARY!$B$34=TRUE,IF(COUNTBLANK(CI80:CI82)&gt;0,0,1),"")</f>
        <v/>
      </c>
      <c r="CJ78" s="49"/>
      <c r="CK78" s="49"/>
      <c r="CL78" s="50" t="str">
        <f>IF(SUMMARY!$B$35=TRUE,IF(COUNTBLANK(CL80:CL82)&gt;0,0,1),"")</f>
        <v/>
      </c>
      <c r="CM78" s="49"/>
      <c r="CN78" s="49"/>
      <c r="CO78" s="51" t="str">
        <f>IF(SUMMARY!$B$36=TRUE,IF(COUNTBLANK(CO80:CO82)&gt;0,0,1),"")</f>
        <v/>
      </c>
      <c r="CP78" s="49"/>
      <c r="CQ78" s="49"/>
    </row>
    <row r="79" spans="1:95" s="13" customFormat="1" ht="15" customHeight="1" x14ac:dyDescent="0.3">
      <c r="A79" s="69"/>
      <c r="B79" s="69"/>
      <c r="C79" s="69" t="s">
        <v>36</v>
      </c>
      <c r="D79" s="331" t="s">
        <v>153</v>
      </c>
      <c r="E79" s="332"/>
      <c r="F79" s="305"/>
      <c r="G79" s="306"/>
      <c r="H79" s="306"/>
      <c r="I79" s="305"/>
      <c r="J79" s="306"/>
      <c r="K79" s="306"/>
      <c r="L79" s="305"/>
      <c r="M79" s="306"/>
      <c r="N79" s="306"/>
      <c r="O79" s="305"/>
      <c r="P79" s="306"/>
      <c r="Q79" s="306"/>
      <c r="R79" s="305"/>
      <c r="S79" s="306"/>
      <c r="T79" s="306"/>
      <c r="U79" s="305"/>
      <c r="V79" s="306"/>
      <c r="W79" s="306"/>
      <c r="X79" s="305"/>
      <c r="Y79" s="306"/>
      <c r="Z79" s="306"/>
      <c r="AA79" s="305"/>
      <c r="AB79" s="306"/>
      <c r="AC79" s="306"/>
      <c r="AD79" s="305"/>
      <c r="AE79" s="306"/>
      <c r="AF79" s="306"/>
      <c r="AG79" s="305"/>
      <c r="AH79" s="306"/>
      <c r="AI79" s="306"/>
      <c r="AJ79" s="305"/>
      <c r="AK79" s="306"/>
      <c r="AL79" s="306"/>
      <c r="AM79" s="305"/>
      <c r="AN79" s="306"/>
      <c r="AO79" s="306"/>
      <c r="AP79" s="305"/>
      <c r="AQ79" s="306"/>
      <c r="AR79" s="306"/>
      <c r="AS79" s="305"/>
      <c r="AT79" s="306"/>
      <c r="AU79" s="306"/>
      <c r="AV79" s="305"/>
      <c r="AW79" s="306"/>
      <c r="AX79" s="306"/>
      <c r="AY79" s="305"/>
      <c r="AZ79" s="306"/>
      <c r="BA79" s="306"/>
      <c r="BB79" s="305"/>
      <c r="BC79" s="306"/>
      <c r="BD79" s="306"/>
      <c r="BE79" s="305"/>
      <c r="BF79" s="306"/>
      <c r="BG79" s="306"/>
      <c r="BH79" s="305"/>
      <c r="BI79" s="306"/>
      <c r="BJ79" s="306"/>
      <c r="BK79" s="305"/>
      <c r="BL79" s="306"/>
      <c r="BM79" s="306"/>
      <c r="BN79" s="305"/>
      <c r="BO79" s="306"/>
      <c r="BP79" s="306"/>
      <c r="BQ79" s="305"/>
      <c r="BR79" s="306"/>
      <c r="BS79" s="306"/>
      <c r="BT79" s="305"/>
      <c r="BU79" s="306"/>
      <c r="BV79" s="306"/>
      <c r="BW79" s="305"/>
      <c r="BX79" s="306"/>
      <c r="BY79" s="306"/>
      <c r="BZ79" s="305"/>
      <c r="CA79" s="306"/>
      <c r="CB79" s="306"/>
      <c r="CC79" s="305"/>
      <c r="CD79" s="306"/>
      <c r="CE79" s="306"/>
      <c r="CF79" s="305"/>
      <c r="CG79" s="306"/>
      <c r="CH79" s="306"/>
      <c r="CI79" s="305"/>
      <c r="CJ79" s="306"/>
      <c r="CK79" s="306"/>
      <c r="CL79" s="305"/>
      <c r="CM79" s="306"/>
      <c r="CN79" s="306"/>
      <c r="CO79" s="305"/>
      <c r="CP79" s="306"/>
      <c r="CQ79" s="306"/>
    </row>
    <row r="80" spans="1:95" s="13" customFormat="1" ht="15" customHeight="1" x14ac:dyDescent="0.3">
      <c r="A80" s="69"/>
      <c r="B80" s="69"/>
      <c r="C80" s="69" t="s">
        <v>36</v>
      </c>
      <c r="D80" s="343" t="s">
        <v>154</v>
      </c>
      <c r="E80" s="344"/>
      <c r="F80" s="288" t="s">
        <v>155</v>
      </c>
      <c r="G80" s="289"/>
      <c r="H80" s="289"/>
      <c r="I80" s="288" t="s">
        <v>155</v>
      </c>
      <c r="J80" s="289"/>
      <c r="K80" s="289"/>
      <c r="L80" s="288" t="s">
        <v>155</v>
      </c>
      <c r="M80" s="289"/>
      <c r="N80" s="289"/>
      <c r="O80" s="288" t="s">
        <v>299</v>
      </c>
      <c r="P80" s="289"/>
      <c r="Q80" s="289"/>
      <c r="R80" s="288" t="s">
        <v>155</v>
      </c>
      <c r="S80" s="289"/>
      <c r="T80" s="289"/>
      <c r="U80" s="288" t="s">
        <v>155</v>
      </c>
      <c r="V80" s="289"/>
      <c r="W80" s="289"/>
      <c r="X80" s="288" t="s">
        <v>155</v>
      </c>
      <c r="Y80" s="289"/>
      <c r="Z80" s="289"/>
      <c r="AA80" s="288" t="s">
        <v>155</v>
      </c>
      <c r="AB80" s="289"/>
      <c r="AC80" s="289"/>
      <c r="AD80" s="288" t="s">
        <v>296</v>
      </c>
      <c r="AE80" s="289"/>
      <c r="AF80" s="289"/>
      <c r="AG80" s="288" t="s">
        <v>157</v>
      </c>
      <c r="AH80" s="289"/>
      <c r="AI80" s="289"/>
      <c r="AJ80" s="288" t="s">
        <v>157</v>
      </c>
      <c r="AK80" s="289"/>
      <c r="AL80" s="289"/>
      <c r="AM80" s="288"/>
      <c r="AN80" s="289"/>
      <c r="AO80" s="289"/>
      <c r="AP80" s="288"/>
      <c r="AQ80" s="289"/>
      <c r="AR80" s="289"/>
      <c r="AS80" s="288"/>
      <c r="AT80" s="289"/>
      <c r="AU80" s="289"/>
      <c r="AV80" s="288"/>
      <c r="AW80" s="289"/>
      <c r="AX80" s="289"/>
      <c r="AY80" s="288"/>
      <c r="AZ80" s="289"/>
      <c r="BA80" s="289"/>
      <c r="BB80" s="288"/>
      <c r="BC80" s="289"/>
      <c r="BD80" s="289"/>
      <c r="BE80" s="288"/>
      <c r="BF80" s="289"/>
      <c r="BG80" s="289"/>
      <c r="BH80" s="288"/>
      <c r="BI80" s="289"/>
      <c r="BJ80" s="289"/>
      <c r="BK80" s="288"/>
      <c r="BL80" s="289"/>
      <c r="BM80" s="289"/>
      <c r="BN80" s="288"/>
      <c r="BO80" s="289"/>
      <c r="BP80" s="289"/>
      <c r="BQ80" s="288"/>
      <c r="BR80" s="289"/>
      <c r="BS80" s="289"/>
      <c r="BT80" s="288"/>
      <c r="BU80" s="289"/>
      <c r="BV80" s="289"/>
      <c r="BW80" s="288"/>
      <c r="BX80" s="289"/>
      <c r="BY80" s="289"/>
      <c r="BZ80" s="288"/>
      <c r="CA80" s="289"/>
      <c r="CB80" s="289"/>
      <c r="CC80" s="288"/>
      <c r="CD80" s="289"/>
      <c r="CE80" s="289"/>
      <c r="CF80" s="288"/>
      <c r="CG80" s="289"/>
      <c r="CH80" s="289"/>
      <c r="CI80" s="288"/>
      <c r="CJ80" s="289"/>
      <c r="CK80" s="289"/>
      <c r="CL80" s="288"/>
      <c r="CM80" s="289"/>
      <c r="CN80" s="289"/>
      <c r="CO80" s="288"/>
      <c r="CP80" s="289"/>
      <c r="CQ80" s="289"/>
    </row>
    <row r="81" spans="1:95" s="13" customFormat="1" ht="15" customHeight="1" x14ac:dyDescent="0.3">
      <c r="A81" s="69"/>
      <c r="B81" s="69"/>
      <c r="C81" s="69" t="s">
        <v>36</v>
      </c>
      <c r="D81" s="343" t="s">
        <v>158</v>
      </c>
      <c r="E81" s="344"/>
      <c r="F81" s="288" t="s">
        <v>159</v>
      </c>
      <c r="G81" s="289"/>
      <c r="H81" s="289"/>
      <c r="I81" s="288" t="s">
        <v>159</v>
      </c>
      <c r="J81" s="289"/>
      <c r="K81" s="289"/>
      <c r="L81" s="288" t="s">
        <v>159</v>
      </c>
      <c r="M81" s="289"/>
      <c r="N81" s="289"/>
      <c r="O81" s="288" t="s">
        <v>159</v>
      </c>
      <c r="P81" s="289"/>
      <c r="Q81" s="289"/>
      <c r="R81" s="288" t="s">
        <v>159</v>
      </c>
      <c r="S81" s="289"/>
      <c r="T81" s="289"/>
      <c r="U81" s="288" t="s">
        <v>159</v>
      </c>
      <c r="V81" s="289"/>
      <c r="W81" s="289"/>
      <c r="X81" s="288" t="s">
        <v>159</v>
      </c>
      <c r="Y81" s="289"/>
      <c r="Z81" s="289"/>
      <c r="AA81" s="288" t="s">
        <v>159</v>
      </c>
      <c r="AB81" s="289"/>
      <c r="AC81" s="289"/>
      <c r="AD81" s="288" t="s">
        <v>159</v>
      </c>
      <c r="AE81" s="289"/>
      <c r="AF81" s="289"/>
      <c r="AG81" s="288" t="s">
        <v>159</v>
      </c>
      <c r="AH81" s="289"/>
      <c r="AI81" s="289"/>
      <c r="AJ81" s="288" t="s">
        <v>159</v>
      </c>
      <c r="AK81" s="289"/>
      <c r="AL81" s="289"/>
      <c r="AM81" s="288"/>
      <c r="AN81" s="289"/>
      <c r="AO81" s="289"/>
      <c r="AP81" s="288"/>
      <c r="AQ81" s="289"/>
      <c r="AR81" s="289"/>
      <c r="AS81" s="288"/>
      <c r="AT81" s="289"/>
      <c r="AU81" s="289"/>
      <c r="AV81" s="288"/>
      <c r="AW81" s="289"/>
      <c r="AX81" s="289"/>
      <c r="AY81" s="288"/>
      <c r="AZ81" s="289"/>
      <c r="BA81" s="289"/>
      <c r="BB81" s="288"/>
      <c r="BC81" s="289"/>
      <c r="BD81" s="289"/>
      <c r="BE81" s="288"/>
      <c r="BF81" s="289"/>
      <c r="BG81" s="289"/>
      <c r="BH81" s="288"/>
      <c r="BI81" s="289"/>
      <c r="BJ81" s="289"/>
      <c r="BK81" s="288"/>
      <c r="BL81" s="289"/>
      <c r="BM81" s="289"/>
      <c r="BN81" s="288"/>
      <c r="BO81" s="289"/>
      <c r="BP81" s="289"/>
      <c r="BQ81" s="288"/>
      <c r="BR81" s="289"/>
      <c r="BS81" s="289"/>
      <c r="BT81" s="288"/>
      <c r="BU81" s="289"/>
      <c r="BV81" s="289"/>
      <c r="BW81" s="288"/>
      <c r="BX81" s="289"/>
      <c r="BY81" s="289"/>
      <c r="BZ81" s="288"/>
      <c r="CA81" s="289"/>
      <c r="CB81" s="289"/>
      <c r="CC81" s="288"/>
      <c r="CD81" s="289"/>
      <c r="CE81" s="289"/>
      <c r="CF81" s="288"/>
      <c r="CG81" s="289"/>
      <c r="CH81" s="289"/>
      <c r="CI81" s="288"/>
      <c r="CJ81" s="289"/>
      <c r="CK81" s="289"/>
      <c r="CL81" s="288"/>
      <c r="CM81" s="289"/>
      <c r="CN81" s="289"/>
      <c r="CO81" s="288"/>
      <c r="CP81" s="289"/>
      <c r="CQ81" s="289"/>
    </row>
    <row r="82" spans="1:95" s="13" customFormat="1" ht="15" customHeight="1" x14ac:dyDescent="0.3">
      <c r="A82" s="58"/>
      <c r="B82" s="58" t="s">
        <v>36</v>
      </c>
      <c r="C82" s="58" t="s">
        <v>36</v>
      </c>
      <c r="D82" s="333" t="s">
        <v>161</v>
      </c>
      <c r="E82" s="334"/>
      <c r="F82" s="290" t="s">
        <v>88</v>
      </c>
      <c r="G82" s="291"/>
      <c r="H82" s="291"/>
      <c r="I82" s="290" t="s">
        <v>88</v>
      </c>
      <c r="J82" s="291"/>
      <c r="K82" s="291"/>
      <c r="L82" s="290" t="s">
        <v>88</v>
      </c>
      <c r="M82" s="291"/>
      <c r="N82" s="291"/>
      <c r="O82" s="290" t="s">
        <v>88</v>
      </c>
      <c r="P82" s="291"/>
      <c r="Q82" s="291"/>
      <c r="R82" s="290" t="s">
        <v>88</v>
      </c>
      <c r="S82" s="291"/>
      <c r="T82" s="291"/>
      <c r="U82" s="290" t="s">
        <v>88</v>
      </c>
      <c r="V82" s="291"/>
      <c r="W82" s="291"/>
      <c r="X82" s="290" t="s">
        <v>88</v>
      </c>
      <c r="Y82" s="291"/>
      <c r="Z82" s="291"/>
      <c r="AA82" s="290" t="s">
        <v>88</v>
      </c>
      <c r="AB82" s="291"/>
      <c r="AC82" s="291"/>
      <c r="AD82" s="290" t="s">
        <v>88</v>
      </c>
      <c r="AE82" s="291"/>
      <c r="AF82" s="291"/>
      <c r="AG82" s="290" t="s">
        <v>88</v>
      </c>
      <c r="AH82" s="291"/>
      <c r="AI82" s="291"/>
      <c r="AJ82" s="290" t="s">
        <v>88</v>
      </c>
      <c r="AK82" s="291"/>
      <c r="AL82" s="291"/>
      <c r="AM82" s="290"/>
      <c r="AN82" s="291"/>
      <c r="AO82" s="291"/>
      <c r="AP82" s="290"/>
      <c r="AQ82" s="291"/>
      <c r="AR82" s="291"/>
      <c r="AS82" s="290"/>
      <c r="AT82" s="291"/>
      <c r="AU82" s="291"/>
      <c r="AV82" s="290"/>
      <c r="AW82" s="291"/>
      <c r="AX82" s="291"/>
      <c r="AY82" s="290"/>
      <c r="AZ82" s="291"/>
      <c r="BA82" s="291"/>
      <c r="BB82" s="290"/>
      <c r="BC82" s="291"/>
      <c r="BD82" s="291"/>
      <c r="BE82" s="290"/>
      <c r="BF82" s="291"/>
      <c r="BG82" s="291"/>
      <c r="BH82" s="290"/>
      <c r="BI82" s="291"/>
      <c r="BJ82" s="291"/>
      <c r="BK82" s="290"/>
      <c r="BL82" s="291"/>
      <c r="BM82" s="291"/>
      <c r="BN82" s="290"/>
      <c r="BO82" s="291"/>
      <c r="BP82" s="291"/>
      <c r="BQ82" s="290"/>
      <c r="BR82" s="291"/>
      <c r="BS82" s="291"/>
      <c r="BT82" s="290"/>
      <c r="BU82" s="291"/>
      <c r="BV82" s="291"/>
      <c r="BW82" s="290"/>
      <c r="BX82" s="291"/>
      <c r="BY82" s="291"/>
      <c r="BZ82" s="290"/>
      <c r="CA82" s="291"/>
      <c r="CB82" s="291"/>
      <c r="CC82" s="290"/>
      <c r="CD82" s="291"/>
      <c r="CE82" s="291"/>
      <c r="CF82" s="290"/>
      <c r="CG82" s="291"/>
      <c r="CH82" s="291"/>
      <c r="CI82" s="290"/>
      <c r="CJ82" s="291"/>
      <c r="CK82" s="291"/>
      <c r="CL82" s="290"/>
      <c r="CM82" s="291"/>
      <c r="CN82" s="291"/>
      <c r="CO82" s="290"/>
      <c r="CP82" s="291"/>
      <c r="CQ82" s="291"/>
    </row>
    <row r="83" spans="1:95" s="1" customFormat="1" ht="21" customHeight="1" x14ac:dyDescent="0.3">
      <c r="A83" s="337" t="s">
        <v>162</v>
      </c>
      <c r="B83" s="337"/>
      <c r="C83" s="337"/>
      <c r="D83" s="337"/>
      <c r="E83" s="337"/>
      <c r="F83" s="48">
        <f>IF(SUMMARY!$B$7=TRUE,IF(COUNTBLANK(F84:F87)&gt;0,0,1),"")</f>
        <v>1</v>
      </c>
      <c r="G83" s="49"/>
      <c r="H83" s="49"/>
      <c r="I83" s="50">
        <f>IF(SUMMARY!$B$8=TRUE,IF(COUNTBLANK(I84:I87)&gt;0,0,1),"")</f>
        <v>1</v>
      </c>
      <c r="J83" s="49"/>
      <c r="K83" s="49"/>
      <c r="L83" s="50">
        <f>IF(SUMMARY!$B$9=TRUE,IF(COUNTBLANK(L84:L87)&gt;0,0,1),"")</f>
        <v>1</v>
      </c>
      <c r="M83" s="49"/>
      <c r="N83" s="49"/>
      <c r="O83" s="50">
        <f>IF(SUMMARY!$B$10=TRUE,IF(COUNTBLANK(O84:O87)&gt;0,0,1),"")</f>
        <v>1</v>
      </c>
      <c r="P83" s="49"/>
      <c r="Q83" s="49"/>
      <c r="R83" s="50">
        <f>IF(SUMMARY!$B$11=TRUE,IF(COUNTBLANK(R84:R87)&gt;0,0,1),"")</f>
        <v>1</v>
      </c>
      <c r="S83" s="49"/>
      <c r="T83" s="49"/>
      <c r="U83" s="50">
        <f>IF(SUMMARY!$B$12=TRUE,IF(COUNTBLANK(U84:U87)&gt;0,0,1),"")</f>
        <v>1</v>
      </c>
      <c r="V83" s="49"/>
      <c r="W83" s="49"/>
      <c r="X83" s="50">
        <f>IF(SUMMARY!$B$13=TRUE,IF(COUNTBLANK(X84:X87)&gt;0,0,1),"")</f>
        <v>1</v>
      </c>
      <c r="Y83" s="49"/>
      <c r="Z83" s="49"/>
      <c r="AA83" s="50">
        <f>IF(SUMMARY!$B$14=TRUE,IF(COUNTBLANK(AA84:AA87)&gt;0,0,1),"")</f>
        <v>1</v>
      </c>
      <c r="AB83" s="49"/>
      <c r="AC83" s="49"/>
      <c r="AD83" s="50">
        <f>IF(SUMMARY!$B$15=TRUE,IF(COUNTBLANK(AD84:AD87)&gt;0,0,1),"")</f>
        <v>1</v>
      </c>
      <c r="AE83" s="49"/>
      <c r="AF83" s="49"/>
      <c r="AG83" s="50" t="str">
        <f>IF(SUMMARY!$B$16=TRUE,IF(COUNTBLANK(AG84:AG87)&gt;0,0,1),"")</f>
        <v/>
      </c>
      <c r="AH83" s="49"/>
      <c r="AI83" s="49"/>
      <c r="AJ83" s="50" t="str">
        <f>IF(SUMMARY!$B$17=TRUE,IF(COUNTBLANK(AJ84:AJ87)&gt;0,0,1),"")</f>
        <v/>
      </c>
      <c r="AK83" s="49"/>
      <c r="AL83" s="49"/>
      <c r="AM83" s="50" t="str">
        <f>IF(SUMMARY!$B$18=TRUE,IF(COUNTBLANK(AM84:AM87)&gt;0,0,1),"")</f>
        <v/>
      </c>
      <c r="AN83" s="49"/>
      <c r="AO83" s="49"/>
      <c r="AP83" s="50" t="str">
        <f>IF(SUMMARY!$B$19=TRUE,IF(COUNTBLANK(AP84:AP87)&gt;0,0,1),"")</f>
        <v/>
      </c>
      <c r="AQ83" s="49"/>
      <c r="AR83" s="49"/>
      <c r="AS83" s="50" t="str">
        <f>IF(SUMMARY!$B$20=TRUE,IF(COUNTBLANK(AS84:AS87)&gt;0,0,1),"")</f>
        <v/>
      </c>
      <c r="AT83" s="49"/>
      <c r="AU83" s="49"/>
      <c r="AV83" s="50" t="str">
        <f>IF(SUMMARY!$B$21=TRUE,IF(COUNTBLANK(AV84:AV87)&gt;0,0,1),"")</f>
        <v/>
      </c>
      <c r="AW83" s="49"/>
      <c r="AX83" s="49"/>
      <c r="AY83" s="50" t="str">
        <f>IF(SUMMARY!$B$22=TRUE,IF(COUNTBLANK(AY84:AY87)&gt;0,0,1),"")</f>
        <v/>
      </c>
      <c r="AZ83" s="49"/>
      <c r="BA83" s="49"/>
      <c r="BB83" s="50" t="str">
        <f>IF(SUMMARY!$B$23=TRUE,IF(COUNTBLANK(BB84:BB87)&gt;0,0,1),"")</f>
        <v/>
      </c>
      <c r="BC83" s="49"/>
      <c r="BD83" s="49"/>
      <c r="BE83" s="50" t="str">
        <f>IF(SUMMARY!$B$24=TRUE,IF(COUNTBLANK(BE84:BE87)&gt;0,0,1),"")</f>
        <v/>
      </c>
      <c r="BF83" s="49"/>
      <c r="BG83" s="49"/>
      <c r="BH83" s="50" t="str">
        <f>IF(SUMMARY!$B$25=TRUE,IF(COUNTBLANK(BH84:BH87)&gt;0,0,1),"")</f>
        <v/>
      </c>
      <c r="BI83" s="49"/>
      <c r="BJ83" s="49"/>
      <c r="BK83" s="50" t="str">
        <f>IF(SUMMARY!$B$26=TRUE,IF(COUNTBLANK(BK84:BK87)&gt;0,0,1),"")</f>
        <v/>
      </c>
      <c r="BL83" s="49"/>
      <c r="BM83" s="49"/>
      <c r="BN83" s="50" t="str">
        <f>IF(SUMMARY!$B$27=TRUE,IF(COUNTBLANK(BN84:BN87)&gt;0,0,1),"")</f>
        <v/>
      </c>
      <c r="BO83" s="49"/>
      <c r="BP83" s="49"/>
      <c r="BQ83" s="50" t="str">
        <f>IF(SUMMARY!$B$28=TRUE,IF(COUNTBLANK(BQ84:BQ87)&gt;0,0,1),"")</f>
        <v/>
      </c>
      <c r="BR83" s="49"/>
      <c r="BS83" s="49"/>
      <c r="BT83" s="50" t="str">
        <f>IF(SUMMARY!$B$29=TRUE,IF(COUNTBLANK(BT84:BT87)&gt;0,0,1),"")</f>
        <v/>
      </c>
      <c r="BU83" s="49"/>
      <c r="BV83" s="49"/>
      <c r="BW83" s="50" t="str">
        <f>IF(SUMMARY!$B$30=TRUE,IF(COUNTBLANK(BW84:BW87)&gt;0,0,1),"")</f>
        <v/>
      </c>
      <c r="BX83" s="49"/>
      <c r="BY83" s="49"/>
      <c r="BZ83" s="50" t="str">
        <f>IF(SUMMARY!$B$31=TRUE,IF(COUNTBLANK(BZ84:BZ87)&gt;0,0,1),"")</f>
        <v/>
      </c>
      <c r="CA83" s="49"/>
      <c r="CB83" s="49"/>
      <c r="CC83" s="50" t="str">
        <f>IF(SUMMARY!$B$32=TRUE,IF(COUNTBLANK(CC84:CC87)&gt;0,0,1),"")</f>
        <v/>
      </c>
      <c r="CD83" s="49"/>
      <c r="CE83" s="49"/>
      <c r="CF83" s="50" t="str">
        <f>IF(SUMMARY!$B$33=TRUE,IF(COUNTBLANK(CF84:CF87)&gt;0,0,1),"")</f>
        <v/>
      </c>
      <c r="CG83" s="49"/>
      <c r="CH83" s="49"/>
      <c r="CI83" s="50" t="str">
        <f>IF(SUMMARY!$B$34=TRUE,IF(COUNTBLANK(CI84:CI87)&gt;0,0,1),"")</f>
        <v/>
      </c>
      <c r="CJ83" s="49"/>
      <c r="CK83" s="49"/>
      <c r="CL83" s="50" t="str">
        <f>IF(SUMMARY!$B$35=TRUE,IF(COUNTBLANK(CL84:CL87)&gt;0,0,1),"")</f>
        <v/>
      </c>
      <c r="CM83" s="49"/>
      <c r="CN83" s="49"/>
      <c r="CO83" s="51" t="str">
        <f>IF(SUMMARY!$B$36=TRUE,IF(COUNTBLANK(CO84:CO87)&gt;0,0,1),"")</f>
        <v/>
      </c>
      <c r="CP83" s="49"/>
      <c r="CQ83" s="49"/>
    </row>
    <row r="84" spans="1:95" s="13" customFormat="1" ht="15" customHeight="1" x14ac:dyDescent="0.3">
      <c r="A84" s="69" t="s">
        <v>36</v>
      </c>
      <c r="B84" s="69"/>
      <c r="C84" s="69"/>
      <c r="D84" s="331" t="s">
        <v>163</v>
      </c>
      <c r="E84" s="332"/>
      <c r="F84" s="396" t="s">
        <v>50</v>
      </c>
      <c r="G84" s="397"/>
      <c r="H84" s="397"/>
      <c r="I84" s="294">
        <v>20</v>
      </c>
      <c r="J84" s="295"/>
      <c r="K84" s="295"/>
      <c r="L84" s="294" t="s">
        <v>50</v>
      </c>
      <c r="M84" s="295"/>
      <c r="N84" s="295"/>
      <c r="O84" s="294">
        <v>42</v>
      </c>
      <c r="P84" s="295"/>
      <c r="Q84" s="295"/>
      <c r="R84" s="294">
        <v>100</v>
      </c>
      <c r="S84" s="295"/>
      <c r="T84" s="295"/>
      <c r="U84" s="294">
        <v>9</v>
      </c>
      <c r="V84" s="295"/>
      <c r="W84" s="295"/>
      <c r="X84" s="294">
        <v>86</v>
      </c>
      <c r="Y84" s="295"/>
      <c r="Z84" s="295"/>
      <c r="AA84" s="294">
        <v>45</v>
      </c>
      <c r="AB84" s="295"/>
      <c r="AC84" s="295"/>
      <c r="AD84" s="294" t="s">
        <v>422</v>
      </c>
      <c r="AE84" s="295"/>
      <c r="AF84" s="295"/>
      <c r="AG84" s="294">
        <v>10</v>
      </c>
      <c r="AH84" s="295"/>
      <c r="AI84" s="295"/>
      <c r="AJ84" s="294">
        <v>9</v>
      </c>
      <c r="AK84" s="295"/>
      <c r="AL84" s="295"/>
      <c r="AM84" s="294"/>
      <c r="AN84" s="295"/>
      <c r="AO84" s="295"/>
      <c r="AP84" s="294"/>
      <c r="AQ84" s="295"/>
      <c r="AR84" s="295"/>
      <c r="AS84" s="294"/>
      <c r="AT84" s="295"/>
      <c r="AU84" s="295"/>
      <c r="AV84" s="294"/>
      <c r="AW84" s="295"/>
      <c r="AX84" s="295"/>
      <c r="AY84" s="294"/>
      <c r="AZ84" s="295"/>
      <c r="BA84" s="295"/>
      <c r="BB84" s="294"/>
      <c r="BC84" s="295"/>
      <c r="BD84" s="295"/>
      <c r="BE84" s="294"/>
      <c r="BF84" s="295"/>
      <c r="BG84" s="295"/>
      <c r="BH84" s="294"/>
      <c r="BI84" s="295"/>
      <c r="BJ84" s="295"/>
      <c r="BK84" s="294"/>
      <c r="BL84" s="295"/>
      <c r="BM84" s="295"/>
      <c r="BN84" s="294"/>
      <c r="BO84" s="295"/>
      <c r="BP84" s="295"/>
      <c r="BQ84" s="294"/>
      <c r="BR84" s="295"/>
      <c r="BS84" s="295"/>
      <c r="BT84" s="294"/>
      <c r="BU84" s="295"/>
      <c r="BV84" s="295"/>
      <c r="BW84" s="294"/>
      <c r="BX84" s="295"/>
      <c r="BY84" s="295"/>
      <c r="BZ84" s="294"/>
      <c r="CA84" s="295"/>
      <c r="CB84" s="295"/>
      <c r="CC84" s="294"/>
      <c r="CD84" s="295"/>
      <c r="CE84" s="295"/>
      <c r="CF84" s="294"/>
      <c r="CG84" s="295"/>
      <c r="CH84" s="295"/>
      <c r="CI84" s="294"/>
      <c r="CJ84" s="295"/>
      <c r="CK84" s="295"/>
      <c r="CL84" s="294"/>
      <c r="CM84" s="295"/>
      <c r="CN84" s="295"/>
      <c r="CO84" s="294"/>
      <c r="CP84" s="295"/>
      <c r="CQ84" s="295"/>
    </row>
    <row r="85" spans="1:95" s="13" customFormat="1" ht="15" customHeight="1" x14ac:dyDescent="0.3">
      <c r="A85" s="62" t="s">
        <v>47</v>
      </c>
      <c r="B85" s="62" t="s">
        <v>36</v>
      </c>
      <c r="C85" s="62"/>
      <c r="D85" s="329" t="s">
        <v>164</v>
      </c>
      <c r="E85" s="330"/>
      <c r="F85" s="288" t="s">
        <v>359</v>
      </c>
      <c r="G85" s="289"/>
      <c r="H85" s="289"/>
      <c r="I85" s="288" t="s">
        <v>359</v>
      </c>
      <c r="J85" s="289"/>
      <c r="K85" s="289"/>
      <c r="L85" s="288" t="s">
        <v>50</v>
      </c>
      <c r="M85" s="289"/>
      <c r="N85" s="289"/>
      <c r="O85" s="288" t="s">
        <v>359</v>
      </c>
      <c r="P85" s="289"/>
      <c r="Q85" s="289"/>
      <c r="R85" s="288" t="s">
        <v>359</v>
      </c>
      <c r="S85" s="289"/>
      <c r="T85" s="289"/>
      <c r="U85" s="288" t="s">
        <v>359</v>
      </c>
      <c r="V85" s="289"/>
      <c r="W85" s="289"/>
      <c r="X85" s="288" t="s">
        <v>359</v>
      </c>
      <c r="Y85" s="289"/>
      <c r="Z85" s="289"/>
      <c r="AA85" s="288" t="s">
        <v>359</v>
      </c>
      <c r="AB85" s="289"/>
      <c r="AC85" s="289"/>
      <c r="AD85" s="288" t="s">
        <v>359</v>
      </c>
      <c r="AE85" s="289"/>
      <c r="AF85" s="289"/>
      <c r="AG85" s="288" t="s">
        <v>166</v>
      </c>
      <c r="AH85" s="289"/>
      <c r="AI85" s="289"/>
      <c r="AJ85" s="288" t="s">
        <v>166</v>
      </c>
      <c r="AK85" s="289"/>
      <c r="AL85" s="289"/>
      <c r="AM85" s="288"/>
      <c r="AN85" s="289"/>
      <c r="AO85" s="289"/>
      <c r="AP85" s="288"/>
      <c r="AQ85" s="289"/>
      <c r="AR85" s="289"/>
      <c r="AS85" s="288"/>
      <c r="AT85" s="289"/>
      <c r="AU85" s="289"/>
      <c r="AV85" s="288"/>
      <c r="AW85" s="289"/>
      <c r="AX85" s="289"/>
      <c r="AY85" s="288"/>
      <c r="AZ85" s="289"/>
      <c r="BA85" s="289"/>
      <c r="BB85" s="288"/>
      <c r="BC85" s="289"/>
      <c r="BD85" s="289"/>
      <c r="BE85" s="288"/>
      <c r="BF85" s="289"/>
      <c r="BG85" s="289"/>
      <c r="BH85" s="288"/>
      <c r="BI85" s="289"/>
      <c r="BJ85" s="289"/>
      <c r="BK85" s="288"/>
      <c r="BL85" s="289"/>
      <c r="BM85" s="289"/>
      <c r="BN85" s="288"/>
      <c r="BO85" s="289"/>
      <c r="BP85" s="289"/>
      <c r="BQ85" s="288"/>
      <c r="BR85" s="289"/>
      <c r="BS85" s="289"/>
      <c r="BT85" s="288"/>
      <c r="BU85" s="289"/>
      <c r="BV85" s="289"/>
      <c r="BW85" s="288"/>
      <c r="BX85" s="289"/>
      <c r="BY85" s="289"/>
      <c r="BZ85" s="288"/>
      <c r="CA85" s="289"/>
      <c r="CB85" s="289"/>
      <c r="CC85" s="288"/>
      <c r="CD85" s="289"/>
      <c r="CE85" s="289"/>
      <c r="CF85" s="288"/>
      <c r="CG85" s="289"/>
      <c r="CH85" s="289"/>
      <c r="CI85" s="288"/>
      <c r="CJ85" s="289"/>
      <c r="CK85" s="289"/>
      <c r="CL85" s="288"/>
      <c r="CM85" s="289"/>
      <c r="CN85" s="289"/>
      <c r="CO85" s="288"/>
      <c r="CP85" s="289"/>
      <c r="CQ85" s="289"/>
    </row>
    <row r="86" spans="1:95" s="13" customFormat="1" ht="15" customHeight="1" x14ac:dyDescent="0.3">
      <c r="A86" s="62" t="s">
        <v>36</v>
      </c>
      <c r="B86" s="62" t="s">
        <v>36</v>
      </c>
      <c r="C86" s="62"/>
      <c r="D86" s="329" t="s">
        <v>167</v>
      </c>
      <c r="E86" s="330"/>
      <c r="F86" s="288" t="s">
        <v>50</v>
      </c>
      <c r="G86" s="289"/>
      <c r="H86" s="289"/>
      <c r="I86" s="288" t="s">
        <v>50</v>
      </c>
      <c r="J86" s="289"/>
      <c r="K86" s="289"/>
      <c r="L86" s="288" t="s">
        <v>50</v>
      </c>
      <c r="M86" s="289"/>
      <c r="N86" s="289"/>
      <c r="O86" s="288" t="s">
        <v>50</v>
      </c>
      <c r="P86" s="289"/>
      <c r="Q86" s="289"/>
      <c r="R86" s="288" t="s">
        <v>50</v>
      </c>
      <c r="S86" s="289"/>
      <c r="T86" s="289"/>
      <c r="U86" s="288" t="s">
        <v>50</v>
      </c>
      <c r="V86" s="289"/>
      <c r="W86" s="289"/>
      <c r="X86" s="288" t="s">
        <v>50</v>
      </c>
      <c r="Y86" s="289"/>
      <c r="Z86" s="289"/>
      <c r="AA86" s="288" t="s">
        <v>50</v>
      </c>
      <c r="AB86" s="289"/>
      <c r="AC86" s="289"/>
      <c r="AD86" s="288" t="s">
        <v>50</v>
      </c>
      <c r="AE86" s="289"/>
      <c r="AF86" s="289"/>
      <c r="AG86" s="288" t="s">
        <v>88</v>
      </c>
      <c r="AH86" s="289"/>
      <c r="AI86" s="289"/>
      <c r="AJ86" s="288" t="s">
        <v>88</v>
      </c>
      <c r="AK86" s="289"/>
      <c r="AL86" s="289"/>
      <c r="AM86" s="288"/>
      <c r="AN86" s="289"/>
      <c r="AO86" s="289"/>
      <c r="AP86" s="288"/>
      <c r="AQ86" s="289"/>
      <c r="AR86" s="289"/>
      <c r="AS86" s="288"/>
      <c r="AT86" s="289"/>
      <c r="AU86" s="289"/>
      <c r="AV86" s="288"/>
      <c r="AW86" s="289"/>
      <c r="AX86" s="289"/>
      <c r="AY86" s="288"/>
      <c r="AZ86" s="289"/>
      <c r="BA86" s="289"/>
      <c r="BB86" s="288"/>
      <c r="BC86" s="289"/>
      <c r="BD86" s="289"/>
      <c r="BE86" s="288"/>
      <c r="BF86" s="289"/>
      <c r="BG86" s="289"/>
      <c r="BH86" s="288"/>
      <c r="BI86" s="289"/>
      <c r="BJ86" s="289"/>
      <c r="BK86" s="288"/>
      <c r="BL86" s="289"/>
      <c r="BM86" s="289"/>
      <c r="BN86" s="288"/>
      <c r="BO86" s="289"/>
      <c r="BP86" s="289"/>
      <c r="BQ86" s="288"/>
      <c r="BR86" s="289"/>
      <c r="BS86" s="289"/>
      <c r="BT86" s="288"/>
      <c r="BU86" s="289"/>
      <c r="BV86" s="289"/>
      <c r="BW86" s="288"/>
      <c r="BX86" s="289"/>
      <c r="BY86" s="289"/>
      <c r="BZ86" s="288"/>
      <c r="CA86" s="289"/>
      <c r="CB86" s="289"/>
      <c r="CC86" s="288"/>
      <c r="CD86" s="289"/>
      <c r="CE86" s="289"/>
      <c r="CF86" s="288"/>
      <c r="CG86" s="289"/>
      <c r="CH86" s="289"/>
      <c r="CI86" s="288"/>
      <c r="CJ86" s="289"/>
      <c r="CK86" s="289"/>
      <c r="CL86" s="288"/>
      <c r="CM86" s="289"/>
      <c r="CN86" s="289"/>
      <c r="CO86" s="288"/>
      <c r="CP86" s="289"/>
      <c r="CQ86" s="289"/>
    </row>
    <row r="87" spans="1:95" s="13" customFormat="1" ht="15" customHeight="1" x14ac:dyDescent="0.3">
      <c r="A87" s="58" t="s">
        <v>36</v>
      </c>
      <c r="B87" s="58" t="s">
        <v>47</v>
      </c>
      <c r="C87" s="58"/>
      <c r="D87" s="333" t="s">
        <v>168</v>
      </c>
      <c r="E87" s="334"/>
      <c r="F87" s="290" t="s">
        <v>50</v>
      </c>
      <c r="G87" s="291"/>
      <c r="H87" s="291"/>
      <c r="I87" s="290" t="s">
        <v>50</v>
      </c>
      <c r="J87" s="291"/>
      <c r="K87" s="291"/>
      <c r="L87" s="290" t="s">
        <v>310</v>
      </c>
      <c r="M87" s="291"/>
      <c r="N87" s="291"/>
      <c r="O87" s="290" t="s">
        <v>159</v>
      </c>
      <c r="P87" s="291"/>
      <c r="Q87" s="291"/>
      <c r="R87" s="290" t="s">
        <v>159</v>
      </c>
      <c r="S87" s="291"/>
      <c r="T87" s="291"/>
      <c r="U87" s="290" t="s">
        <v>159</v>
      </c>
      <c r="V87" s="291"/>
      <c r="W87" s="291"/>
      <c r="X87" s="290" t="s">
        <v>159</v>
      </c>
      <c r="Y87" s="291"/>
      <c r="Z87" s="291"/>
      <c r="AA87" s="290" t="s">
        <v>310</v>
      </c>
      <c r="AB87" s="291"/>
      <c r="AC87" s="291"/>
      <c r="AD87" s="290" t="s">
        <v>159</v>
      </c>
      <c r="AE87" s="291"/>
      <c r="AF87" s="291"/>
      <c r="AG87" s="290" t="s">
        <v>170</v>
      </c>
      <c r="AH87" s="291"/>
      <c r="AI87" s="291"/>
      <c r="AJ87" s="290" t="s">
        <v>170</v>
      </c>
      <c r="AK87" s="291"/>
      <c r="AL87" s="291"/>
      <c r="AM87" s="290"/>
      <c r="AN87" s="291"/>
      <c r="AO87" s="291"/>
      <c r="AP87" s="290"/>
      <c r="AQ87" s="291"/>
      <c r="AR87" s="291"/>
      <c r="AS87" s="290"/>
      <c r="AT87" s="291"/>
      <c r="AU87" s="291"/>
      <c r="AV87" s="290"/>
      <c r="AW87" s="291"/>
      <c r="AX87" s="291"/>
      <c r="AY87" s="290"/>
      <c r="AZ87" s="291"/>
      <c r="BA87" s="291"/>
      <c r="BB87" s="290"/>
      <c r="BC87" s="291"/>
      <c r="BD87" s="291"/>
      <c r="BE87" s="290"/>
      <c r="BF87" s="291"/>
      <c r="BG87" s="291"/>
      <c r="BH87" s="290"/>
      <c r="BI87" s="291"/>
      <c r="BJ87" s="291"/>
      <c r="BK87" s="290"/>
      <c r="BL87" s="291"/>
      <c r="BM87" s="291"/>
      <c r="BN87" s="290"/>
      <c r="BO87" s="291"/>
      <c r="BP87" s="291"/>
      <c r="BQ87" s="290"/>
      <c r="BR87" s="291"/>
      <c r="BS87" s="291"/>
      <c r="BT87" s="290"/>
      <c r="BU87" s="291"/>
      <c r="BV87" s="291"/>
      <c r="BW87" s="290"/>
      <c r="BX87" s="291"/>
      <c r="BY87" s="291"/>
      <c r="BZ87" s="290"/>
      <c r="CA87" s="291"/>
      <c r="CB87" s="291"/>
      <c r="CC87" s="290"/>
      <c r="CD87" s="291"/>
      <c r="CE87" s="291"/>
      <c r="CF87" s="290"/>
      <c r="CG87" s="291"/>
      <c r="CH87" s="291"/>
      <c r="CI87" s="290"/>
      <c r="CJ87" s="291"/>
      <c r="CK87" s="291"/>
      <c r="CL87" s="290"/>
      <c r="CM87" s="291"/>
      <c r="CN87" s="291"/>
      <c r="CO87" s="290"/>
      <c r="CP87" s="291"/>
      <c r="CQ87" s="291"/>
    </row>
    <row r="88" spans="1:95" s="1" customFormat="1" ht="18.75" customHeight="1" x14ac:dyDescent="0.3">
      <c r="A88" s="337" t="s">
        <v>171</v>
      </c>
      <c r="B88" s="337"/>
      <c r="C88" s="337"/>
      <c r="D88" s="337"/>
      <c r="E88" s="337"/>
      <c r="F88" s="48">
        <f>IF(SUMMARY!$B$7=TRUE,IF(COUNTBLANK(F89)&gt;0,0,1),"")</f>
        <v>1</v>
      </c>
      <c r="G88" s="49"/>
      <c r="H88" s="49"/>
      <c r="I88" s="50">
        <f>IF(SUMMARY!$B$8=TRUE,IF(COUNTBLANK(I89)&gt;0,0,1),"")</f>
        <v>1</v>
      </c>
      <c r="J88" s="49"/>
      <c r="K88" s="49"/>
      <c r="L88" s="50">
        <f>IF(SUMMARY!$B$9=TRUE,IF(COUNTBLANK(L89)&gt;0,0,1),"")</f>
        <v>1</v>
      </c>
      <c r="M88" s="49"/>
      <c r="N88" s="49"/>
      <c r="O88" s="50">
        <f>IF(SUMMARY!$B$10=TRUE,IF(COUNTBLANK(O89)&gt;0,0,1),"")</f>
        <v>1</v>
      </c>
      <c r="P88" s="49"/>
      <c r="Q88" s="49"/>
      <c r="R88" s="50">
        <f>IF(SUMMARY!$B$11=TRUE,IF(COUNTBLANK(R89)&gt;0,0,1),"")</f>
        <v>1</v>
      </c>
      <c r="S88" s="49"/>
      <c r="T88" s="49"/>
      <c r="U88" s="50">
        <f>IF(SUMMARY!$B$12=TRUE,IF(COUNTBLANK(U89)&gt;0,0,1),"")</f>
        <v>1</v>
      </c>
      <c r="V88" s="49"/>
      <c r="W88" s="49"/>
      <c r="X88" s="50">
        <f>IF(SUMMARY!$B$13=TRUE,IF(COUNTBLANK(X89)&gt;0,0,1),"")</f>
        <v>1</v>
      </c>
      <c r="Y88" s="49"/>
      <c r="Z88" s="49"/>
      <c r="AA88" s="50">
        <f>IF(SUMMARY!$B$14=TRUE,IF(COUNTBLANK(AA89)&gt;0,0,1),"")</f>
        <v>1</v>
      </c>
      <c r="AB88" s="49"/>
      <c r="AC88" s="49"/>
      <c r="AD88" s="50">
        <f>IF(SUMMARY!$B$15=TRUE,IF(COUNTBLANK(AD89)&gt;0,0,1),"")</f>
        <v>1</v>
      </c>
      <c r="AE88" s="49"/>
      <c r="AF88" s="49"/>
      <c r="AG88" s="50" t="str">
        <f>IF(SUMMARY!$B$16=TRUE,IF(COUNTBLANK(AG89)&gt;0,0,1),"")</f>
        <v/>
      </c>
      <c r="AH88" s="49"/>
      <c r="AI88" s="49"/>
      <c r="AJ88" s="50" t="str">
        <f>IF(SUMMARY!$B$17=TRUE,IF(COUNTBLANK(AJ89)&gt;0,0,1),"")</f>
        <v/>
      </c>
      <c r="AK88" s="49"/>
      <c r="AL88" s="49"/>
      <c r="AM88" s="50" t="str">
        <f>IF(SUMMARY!$B$18=TRUE,IF(COUNTBLANK(AM89)&gt;0,0,1),"")</f>
        <v/>
      </c>
      <c r="AN88" s="49"/>
      <c r="AO88" s="49"/>
      <c r="AP88" s="50" t="str">
        <f>IF(SUMMARY!$B$19=TRUE,IF(COUNTBLANK(AP89)&gt;0,0,1),"")</f>
        <v/>
      </c>
      <c r="AQ88" s="49"/>
      <c r="AR88" s="49"/>
      <c r="AS88" s="50" t="str">
        <f>IF(SUMMARY!$B$20=TRUE,IF(COUNTBLANK(AS89)&gt;0,0,1),"")</f>
        <v/>
      </c>
      <c r="AT88" s="49"/>
      <c r="AU88" s="49"/>
      <c r="AV88" s="50" t="str">
        <f>IF(SUMMARY!$B$21=TRUE,IF(COUNTBLANK(AV89)&gt;0,0,1),"")</f>
        <v/>
      </c>
      <c r="AW88" s="49"/>
      <c r="AX88" s="49"/>
      <c r="AY88" s="50" t="str">
        <f>IF(SUMMARY!$B$22=TRUE,IF(COUNTBLANK(AY89)&gt;0,0,1),"")</f>
        <v/>
      </c>
      <c r="AZ88" s="49"/>
      <c r="BA88" s="49"/>
      <c r="BB88" s="50" t="str">
        <f>IF(SUMMARY!$B$23=TRUE,IF(COUNTBLANK(BB89)&gt;0,0,1),"")</f>
        <v/>
      </c>
      <c r="BC88" s="49"/>
      <c r="BD88" s="49"/>
      <c r="BE88" s="50" t="str">
        <f>IF(SUMMARY!$B$24=TRUE,IF(COUNTBLANK(BE89)&gt;0,0,1),"")</f>
        <v/>
      </c>
      <c r="BF88" s="49"/>
      <c r="BG88" s="49"/>
      <c r="BH88" s="50" t="str">
        <f>IF(SUMMARY!$B$25=TRUE,IF(COUNTBLANK(BH89)&gt;0,0,1),"")</f>
        <v/>
      </c>
      <c r="BI88" s="49"/>
      <c r="BJ88" s="49"/>
      <c r="BK88" s="50" t="str">
        <f>IF(SUMMARY!$B$26=TRUE,IF(COUNTBLANK(BK89)&gt;0,0,1),"")</f>
        <v/>
      </c>
      <c r="BL88" s="49"/>
      <c r="BM88" s="49"/>
      <c r="BN88" s="50" t="str">
        <f>IF(SUMMARY!$B$27=TRUE,IF(COUNTBLANK(BN89)&gt;0,0,1),"")</f>
        <v/>
      </c>
      <c r="BO88" s="49"/>
      <c r="BP88" s="49"/>
      <c r="BQ88" s="50" t="str">
        <f>IF(SUMMARY!$B$28=TRUE,IF(COUNTBLANK(BQ89)&gt;0,0,1),"")</f>
        <v/>
      </c>
      <c r="BR88" s="49"/>
      <c r="BS88" s="49"/>
      <c r="BT88" s="50" t="str">
        <f>IF(SUMMARY!$B$29=TRUE,IF(COUNTBLANK(BT89)&gt;0,0,1),"")</f>
        <v/>
      </c>
      <c r="BU88" s="49"/>
      <c r="BV88" s="49"/>
      <c r="BW88" s="50" t="str">
        <f>IF(SUMMARY!$B$30=TRUE,IF(COUNTBLANK(BW89)&gt;0,0,1),"")</f>
        <v/>
      </c>
      <c r="BX88" s="49"/>
      <c r="BY88" s="49"/>
      <c r="BZ88" s="50" t="str">
        <f>IF(SUMMARY!$B$31=TRUE,IF(COUNTBLANK(BZ89)&gt;0,0,1),"")</f>
        <v/>
      </c>
      <c r="CA88" s="49"/>
      <c r="CB88" s="49"/>
      <c r="CC88" s="50" t="str">
        <f>IF(SUMMARY!$B$32=TRUE,IF(COUNTBLANK(CC89)&gt;0,0,1),"")</f>
        <v/>
      </c>
      <c r="CD88" s="49"/>
      <c r="CE88" s="49"/>
      <c r="CF88" s="50" t="str">
        <f>IF(SUMMARY!$B$33=TRUE,IF(COUNTBLANK(CF89)&gt;0,0,1),"")</f>
        <v/>
      </c>
      <c r="CG88" s="49"/>
      <c r="CH88" s="49"/>
      <c r="CI88" s="50" t="str">
        <f>IF(SUMMARY!$B$34=TRUE,IF(COUNTBLANK(CI89)&gt;0,0,1),"")</f>
        <v/>
      </c>
      <c r="CJ88" s="49"/>
      <c r="CK88" s="49"/>
      <c r="CL88" s="50" t="str">
        <f>IF(SUMMARY!$B$35=TRUE,IF(COUNTBLANK(CL89)&gt;0,0,1),"")</f>
        <v/>
      </c>
      <c r="CM88" s="49"/>
      <c r="CN88" s="49"/>
      <c r="CO88" s="51" t="str">
        <f>IF(SUMMARY!$B$36=TRUE,IF(COUNTBLANK(CO89)&gt;0,0,1),"")</f>
        <v/>
      </c>
      <c r="CP88" s="49"/>
      <c r="CQ88" s="49"/>
    </row>
    <row r="89" spans="1:95" s="14" customFormat="1" ht="75" customHeight="1" x14ac:dyDescent="0.3">
      <c r="A89" s="71" t="s">
        <v>36</v>
      </c>
      <c r="B89" s="72" t="s">
        <v>36</v>
      </c>
      <c r="C89" s="72"/>
      <c r="D89" s="357" t="s">
        <v>172</v>
      </c>
      <c r="E89" s="358"/>
      <c r="F89" s="317" t="s">
        <v>360</v>
      </c>
      <c r="G89" s="318"/>
      <c r="H89" s="318"/>
      <c r="I89" s="317" t="s">
        <v>369</v>
      </c>
      <c r="J89" s="318"/>
      <c r="K89" s="318"/>
      <c r="L89" s="317" t="s">
        <v>370</v>
      </c>
      <c r="M89" s="318"/>
      <c r="N89" s="318"/>
      <c r="O89" s="317" t="s">
        <v>423</v>
      </c>
      <c r="P89" s="318"/>
      <c r="Q89" s="318"/>
      <c r="R89" s="317" t="s">
        <v>424</v>
      </c>
      <c r="S89" s="318"/>
      <c r="T89" s="318"/>
      <c r="U89" s="317" t="s">
        <v>425</v>
      </c>
      <c r="V89" s="318"/>
      <c r="W89" s="318"/>
      <c r="X89" s="317" t="s">
        <v>426</v>
      </c>
      <c r="Y89" s="318"/>
      <c r="Z89" s="318"/>
      <c r="AA89" s="317" t="s">
        <v>427</v>
      </c>
      <c r="AB89" s="318"/>
      <c r="AC89" s="318"/>
      <c r="AD89" s="317" t="s">
        <v>428</v>
      </c>
      <c r="AE89" s="318"/>
      <c r="AF89" s="318"/>
      <c r="AG89" s="317" t="s">
        <v>173</v>
      </c>
      <c r="AH89" s="318"/>
      <c r="AI89" s="318"/>
      <c r="AJ89" s="317" t="s">
        <v>173</v>
      </c>
      <c r="AK89" s="318"/>
      <c r="AL89" s="318"/>
      <c r="AM89" s="317"/>
      <c r="AN89" s="318"/>
      <c r="AO89" s="318"/>
      <c r="AP89" s="317"/>
      <c r="AQ89" s="318"/>
      <c r="AR89" s="318"/>
      <c r="AS89" s="317"/>
      <c r="AT89" s="318"/>
      <c r="AU89" s="318"/>
      <c r="AV89" s="317"/>
      <c r="AW89" s="318"/>
      <c r="AX89" s="318"/>
      <c r="AY89" s="317"/>
      <c r="AZ89" s="318"/>
      <c r="BA89" s="318"/>
      <c r="BB89" s="317"/>
      <c r="BC89" s="318"/>
      <c r="BD89" s="318"/>
      <c r="BE89" s="317"/>
      <c r="BF89" s="318"/>
      <c r="BG89" s="318"/>
      <c r="BH89" s="317"/>
      <c r="BI89" s="318"/>
      <c r="BJ89" s="318"/>
      <c r="BK89" s="317"/>
      <c r="BL89" s="318"/>
      <c r="BM89" s="318"/>
      <c r="BN89" s="317"/>
      <c r="BO89" s="318"/>
      <c r="BP89" s="318"/>
      <c r="BQ89" s="317"/>
      <c r="BR89" s="318"/>
      <c r="BS89" s="318"/>
      <c r="BT89" s="317"/>
      <c r="BU89" s="318"/>
      <c r="BV89" s="318"/>
      <c r="BW89" s="317"/>
      <c r="BX89" s="318"/>
      <c r="BY89" s="318"/>
      <c r="BZ89" s="317"/>
      <c r="CA89" s="318"/>
      <c r="CB89" s="318"/>
      <c r="CC89" s="317"/>
      <c r="CD89" s="318"/>
      <c r="CE89" s="318"/>
      <c r="CF89" s="317"/>
      <c r="CG89" s="318"/>
      <c r="CH89" s="318"/>
      <c r="CI89" s="317"/>
      <c r="CJ89" s="318"/>
      <c r="CK89" s="318"/>
      <c r="CL89" s="317"/>
      <c r="CM89" s="318"/>
      <c r="CN89" s="318"/>
      <c r="CO89" s="317"/>
      <c r="CP89" s="318"/>
      <c r="CQ89" s="318"/>
    </row>
    <row r="90" spans="1:95" s="1" customFormat="1" ht="18.75" customHeight="1" x14ac:dyDescent="0.3">
      <c r="A90" s="356" t="s">
        <v>174</v>
      </c>
      <c r="B90" s="356"/>
      <c r="C90" s="356"/>
      <c r="D90" s="356"/>
      <c r="E90" s="356"/>
      <c r="F90" s="54">
        <f>IF(SUMMARY!$B$7=TRUE,IF(F91="All information has been successfully registered",1,IF(AND(ISERROR(SEARCH("items",F91))=FALSE,F92&lt;&gt;""),1,0)),"")</f>
        <v>1</v>
      </c>
      <c r="G90" s="55"/>
      <c r="H90" s="55"/>
      <c r="I90" s="54">
        <f>IF(SUMMARY!$B$8=TRUE,IF(I91="All information has been successfully registered",1,IF(AND(ISERROR(SEARCH("items",I91))=FALSE,I92&lt;&gt;""),1,0)),"")</f>
        <v>1</v>
      </c>
      <c r="J90" s="55"/>
      <c r="K90" s="55"/>
      <c r="L90" s="54">
        <f>IF(SUMMARY!$B$9=TRUE,IF(L91="All information has been successfully registered",1,IF(AND(ISERROR(SEARCH("items",L91))=FALSE,L92&lt;&gt;""),1,0)),"")</f>
        <v>1</v>
      </c>
      <c r="M90" s="55"/>
      <c r="N90" s="55"/>
      <c r="O90" s="54">
        <f>IF(SUMMARY!$B$10=TRUE,IF(O91="All information has been successfully registered",1,IF(AND(ISERROR(SEARCH("items",O91))=FALSE,O92&lt;&gt;""),1,0)),"")</f>
        <v>1</v>
      </c>
      <c r="P90" s="55"/>
      <c r="Q90" s="55"/>
      <c r="R90" s="54">
        <f>IF(SUMMARY!$B$11=TRUE,IF(R91="All information has been successfully registered",1,IF(AND(ISERROR(SEARCH("items",R91))=FALSE,R92&lt;&gt;""),1,0)),"")</f>
        <v>1</v>
      </c>
      <c r="S90" s="55"/>
      <c r="T90" s="55"/>
      <c r="U90" s="54">
        <f>IF(SUMMARY!$B$12=TRUE,IF(U91="All information has been successfully registered",1,IF(AND(ISERROR(SEARCH("items",U91))=FALSE,U92&lt;&gt;""),1,0)),"")</f>
        <v>1</v>
      </c>
      <c r="V90" s="55"/>
      <c r="W90" s="55"/>
      <c r="X90" s="54">
        <f>IF(SUMMARY!$B$13=TRUE,IF(X91="All information has been successfully registered",1,IF(AND(ISERROR(SEARCH("items",X91))=FALSE,X92&lt;&gt;""),1,0)),"")</f>
        <v>1</v>
      </c>
      <c r="Y90" s="55"/>
      <c r="Z90" s="55"/>
      <c r="AA90" s="54">
        <f>IF(SUMMARY!$B$14=TRUE,IF(AA91="All information has been successfully registered",1,IF(AND(ISERROR(SEARCH("items",AA91))=FALSE,AA92&lt;&gt;""),1,0)),"")</f>
        <v>1</v>
      </c>
      <c r="AB90" s="55"/>
      <c r="AC90" s="55"/>
      <c r="AD90" s="54">
        <f>IF(SUMMARY!$B$15=TRUE,IF(AD91="All information has been successfully registered",1,IF(AND(ISERROR(SEARCH("items",AD91))=FALSE,AD92&lt;&gt;""),1,0)),"")</f>
        <v>1</v>
      </c>
      <c r="AE90" s="55"/>
      <c r="AF90" s="55"/>
      <c r="AG90" s="54" t="str">
        <f>IF(SUMMARY!$B$16=TRUE,IF(AG91="All information has been successfully registered",1,IF(AND(ISERROR(SEARCH("items",AG91))=FALSE,AG92&lt;&gt;""),1,0)),"")</f>
        <v/>
      </c>
      <c r="AH90" s="55"/>
      <c r="AI90" s="55"/>
      <c r="AJ90" s="54" t="str">
        <f>IF(SUMMARY!$B$17=TRUE,IF(AJ91="All information has been successfully registered",1,IF(AND(ISERROR(SEARCH("items",AJ91))=FALSE,AJ92&lt;&gt;""),1,0)),"")</f>
        <v/>
      </c>
      <c r="AK90" s="55"/>
      <c r="AL90" s="55"/>
      <c r="AM90" s="54" t="str">
        <f>IF(SUMMARY!$B$18=TRUE,IF(AM91="All information has been successfully registered",1,IF(AND(ISERROR(SEARCH("items",AM91))=FALSE,AM92&lt;&gt;""),1,0)),"")</f>
        <v/>
      </c>
      <c r="AN90" s="55"/>
      <c r="AO90" s="55"/>
      <c r="AP90" s="54" t="str">
        <f>IF(SUMMARY!$B$19=TRUE,IF(AP91="All information has been successfully registered",1,IF(AND(ISERROR(SEARCH("items",AP91))=FALSE,AP92&lt;&gt;""),1,0)),"")</f>
        <v/>
      </c>
      <c r="AQ90" s="55"/>
      <c r="AR90" s="55"/>
      <c r="AS90" s="54" t="str">
        <f>IF(SUMMARY!$B$20=TRUE,IF(AS91="All information has been successfully registered",1,IF(AND(ISERROR(SEARCH("items",AS91))=FALSE,AS92&lt;&gt;""),1,0)),"")</f>
        <v/>
      </c>
      <c r="AT90" s="55"/>
      <c r="AU90" s="55"/>
      <c r="AV90" s="54" t="str">
        <f>IF(SUMMARY!$B$21=TRUE,IF(AV91="All information has been successfully registered",1,IF(AND(ISERROR(SEARCH("items",AV91))=FALSE,AV92&lt;&gt;""),1,0)),"")</f>
        <v/>
      </c>
      <c r="AW90" s="55"/>
      <c r="AX90" s="55"/>
      <c r="AY90" s="54" t="str">
        <f>IF(SUMMARY!$B$22=TRUE,IF(AY91="All information has been successfully registered",1,IF(AND(ISERROR(SEARCH("items",AY91))=FALSE,AY92&lt;&gt;""),1,0)),"")</f>
        <v/>
      </c>
      <c r="AZ90" s="55"/>
      <c r="BA90" s="55"/>
      <c r="BB90" s="54" t="str">
        <f>IF(SUMMARY!$B$23=TRUE,IF(BB91="All information has been successfully registered",1,IF(AND(ISERROR(SEARCH("items",BB91))=FALSE,BB92&lt;&gt;""),1,0)),"")</f>
        <v/>
      </c>
      <c r="BC90" s="55"/>
      <c r="BD90" s="55"/>
      <c r="BE90" s="54" t="str">
        <f>IF(SUMMARY!$B$24=TRUE,IF(BE91="All information has been successfully registered",1,IF(AND(ISERROR(SEARCH("items",BE91))=FALSE,BE92&lt;&gt;""),1,0)),"")</f>
        <v/>
      </c>
      <c r="BF90" s="55"/>
      <c r="BG90" s="55"/>
      <c r="BH90" s="54" t="str">
        <f>IF(SUMMARY!$B$25=TRUE,IF(BH91="All information has been successfully registered",1,IF(AND(ISERROR(SEARCH("items",BH91))=FALSE,BH92&lt;&gt;""),1,0)),"")</f>
        <v/>
      </c>
      <c r="BI90" s="55"/>
      <c r="BJ90" s="55"/>
      <c r="BK90" s="54" t="str">
        <f>IF(SUMMARY!$B$26=TRUE,IF(BK91="All information has been successfully registered",1,IF(AND(ISERROR(SEARCH("items",BK91))=FALSE,BK92&lt;&gt;""),1,0)),"")</f>
        <v/>
      </c>
      <c r="BL90" s="55"/>
      <c r="BM90" s="55"/>
      <c r="BN90" s="54" t="str">
        <f>IF(SUMMARY!$B$27=TRUE,IF(BN91="All information has been successfully registered",1,IF(AND(ISERROR(SEARCH("items",BN91))=FALSE,BN92&lt;&gt;""),1,0)),"")</f>
        <v/>
      </c>
      <c r="BO90" s="55"/>
      <c r="BP90" s="55"/>
      <c r="BQ90" s="54" t="str">
        <f>IF(SUMMARY!$B$28=TRUE,IF(BQ91="All information has been successfully registered",1,IF(AND(ISERROR(SEARCH("items",BQ91))=FALSE,BQ92&lt;&gt;""),1,0)),"")</f>
        <v/>
      </c>
      <c r="BR90" s="55"/>
      <c r="BS90" s="55"/>
      <c r="BT90" s="54" t="str">
        <f>IF(SUMMARY!$B$29=TRUE,IF(BT91="All information has been successfully registered",1,IF(AND(ISERROR(SEARCH("items",BT91))=FALSE,BT92&lt;&gt;""),1,0)),"")</f>
        <v/>
      </c>
      <c r="BU90" s="55"/>
      <c r="BV90" s="55"/>
      <c r="BW90" s="54" t="str">
        <f>IF(SUMMARY!$B$30=TRUE,IF(BW91="All information has been successfully registered",1,IF(AND(ISERROR(SEARCH("items",BW91))=FALSE,BW92&lt;&gt;""),1,0)),"")</f>
        <v/>
      </c>
      <c r="BX90" s="55"/>
      <c r="BY90" s="55"/>
      <c r="BZ90" s="54" t="str">
        <f>IF(SUMMARY!$B$31=TRUE,IF(BZ91="All information has been successfully registered",1,IF(AND(ISERROR(SEARCH("items",BZ91))=FALSE,BZ92&lt;&gt;""),1,0)),"")</f>
        <v/>
      </c>
      <c r="CA90" s="55"/>
      <c r="CB90" s="55"/>
      <c r="CC90" s="54" t="str">
        <f>IF(SUMMARY!$B$32=TRUE,IF(CC91="All information has been successfully registered",1,IF(AND(ISERROR(SEARCH("items",CC91))=FALSE,CC92&lt;&gt;""),1,0)),"")</f>
        <v/>
      </c>
      <c r="CD90" s="55"/>
      <c r="CE90" s="55"/>
      <c r="CF90" s="54" t="str">
        <f>IF(SUMMARY!$B$33=TRUE,IF(CF91="All information has been successfully registered",1,IF(AND(ISERROR(SEARCH("items",CF91))=FALSE,CF92&lt;&gt;""),1,0)),"")</f>
        <v/>
      </c>
      <c r="CG90" s="55"/>
      <c r="CH90" s="55"/>
      <c r="CI90" s="54" t="str">
        <f>IF(SUMMARY!$B$34=TRUE,IF(CI91="All information has been successfully registered",1,IF(AND(ISERROR(SEARCH("items",CI91))=FALSE,CI92&lt;&gt;""),1,0)),"")</f>
        <v/>
      </c>
      <c r="CJ90" s="55"/>
      <c r="CK90" s="55"/>
      <c r="CL90" s="54" t="str">
        <f>IF(SUMMARY!$B$35=TRUE,IF(CL91="All information has been successfully registered",1,IF(AND(ISERROR(SEARCH("items",CL91))=FALSE,CL92&lt;&gt;""),1,0)),"")</f>
        <v/>
      </c>
      <c r="CM90" s="55"/>
      <c r="CN90" s="55"/>
      <c r="CO90" s="56" t="str">
        <f>IF(SUMMARY!$B$36=TRUE,IF(CO91="All information has been successfully registered",1,IF(AND(ISERROR(SEARCH("items",CO91))=FALSE,CO92&lt;&gt;""),1,0)),"")</f>
        <v/>
      </c>
      <c r="CP90" s="55"/>
      <c r="CQ90" s="55"/>
    </row>
    <row r="91" spans="1:95" s="14" customFormat="1" ht="15" customHeight="1" x14ac:dyDescent="0.3">
      <c r="A91" s="73"/>
      <c r="B91" s="74"/>
      <c r="C91" s="74"/>
      <c r="D91" s="354" t="s">
        <v>175</v>
      </c>
      <c r="E91" s="355"/>
      <c r="F91" s="277" t="str">
        <f>IF(OR(F13=0,F15=0,F29=0,F37=0,F44=0,F49=0,F52=0,F57=0,F78=0,F83=0,F88=0)=TRUE,"Incomplete data extraction","All information has been successfully registered")</f>
        <v>All information has been successfully registered</v>
      </c>
      <c r="G91" s="278"/>
      <c r="H91" s="279"/>
      <c r="I91" s="277" t="str">
        <f>IF(OR(I13=0,I15=0,I29=0,I37=0,I44=0,I49=0,I52=0,I57=0,I78=0,I83=0,I88=0)=TRUE,"Incomplete data extraction","All information has been successfully registered")</f>
        <v>All information has been successfully registered</v>
      </c>
      <c r="J91" s="278"/>
      <c r="K91" s="279"/>
      <c r="L91" s="277" t="str">
        <f>IF(OR(L13=0,L15=0,L29=0,L37=0,L44=0,L49=0,L52=0,L57=0,L78=0,L83=0,L88=0)=TRUE,"Incomplete data extraction","All information has been successfully registered")</f>
        <v>All information has been successfully registered</v>
      </c>
      <c r="M91" s="278"/>
      <c r="N91" s="279"/>
      <c r="O91" s="277" t="str">
        <f>IF(OR(O13=0,O15=0,O29=0,O37=0,O44=0,O49=0,O52=0,O57=0,O78=0,O83=0,O88=0)=TRUE,"Incomplete data extraction","All information has been successfully registered")</f>
        <v>All information has been successfully registered</v>
      </c>
      <c r="P91" s="278"/>
      <c r="Q91" s="279"/>
      <c r="R91" s="277" t="str">
        <f>IF(OR(R13=0,R15=0,R29=0,R37=0,R44=0,R49=0,R52=0,R57=0,R78=0,R83=0,R88=0)=TRUE,"Incomplete data extraction","All information has been successfully registered")</f>
        <v>All information has been successfully registered</v>
      </c>
      <c r="S91" s="278"/>
      <c r="T91" s="279"/>
      <c r="U91" s="277" t="str">
        <f>IF(OR(U13=0,U15=0,U29=0,U37=0,U44=0,U49=0,U52=0,U57=0,U78=0,U83=0,U88=0)=TRUE,"Incomplete data extraction","All information has been successfully registered")</f>
        <v>All information has been successfully registered</v>
      </c>
      <c r="V91" s="278"/>
      <c r="W91" s="279"/>
      <c r="X91" s="277" t="str">
        <f>IF(OR(X13=0,X15=0,X29=0,X37=0,X44=0,X49=0,X52=0,X57=0,X78=0,X83=0,X88=0)=TRUE,"Incomplete data extraction","All information has been successfully registered")</f>
        <v>All information has been successfully registered</v>
      </c>
      <c r="Y91" s="278"/>
      <c r="Z91" s="279"/>
      <c r="AA91" s="277" t="str">
        <f>IF(OR(AA13=0,AA15=0,AA29=0,AA37=0,AA44=0,AA49=0,AA52=0,AA57=0,AA78=0,AA83=0,AA88=0)=TRUE,"Incomplete data extraction","All information has been successfully registered")</f>
        <v>All information has been successfully registered</v>
      </c>
      <c r="AB91" s="278"/>
      <c r="AC91" s="279"/>
      <c r="AD91" s="277" t="str">
        <f>IF(OR(AD13=0,AD15=0,AD29=0,AD37=0,AD44=0,AD49=0,AD52=0,AD57=0,AD78=0,AD83=0,AD88=0)=TRUE,"Incomplete data extraction","All information has been successfully registered")</f>
        <v>All information has been successfully registered</v>
      </c>
      <c r="AE91" s="278"/>
      <c r="AF91" s="279"/>
      <c r="AG91" s="277" t="str">
        <f>IF(OR(AG13=0,AG15=0,AG29=0,AG37=0,AG44=0,AG49=0,AG52=0,AG57=0,AG78=0,AG83=0,AG88=0)=TRUE,"Incomplete data extraction","All information has been successfully registered")</f>
        <v>All information has been successfully registered</v>
      </c>
      <c r="AH91" s="278"/>
      <c r="AI91" s="279"/>
      <c r="AJ91" s="277" t="str">
        <f>IF(OR(AJ13=0,AJ15=0,AJ29=0,AJ37=0,AJ44=0,AJ49=0,AJ52=0,AJ57=0,AJ78=0,AJ83=0,AJ88=0)=TRUE,"Incomplete data extraction","All information has been successfully registered")</f>
        <v>All information has been successfully registered</v>
      </c>
      <c r="AK91" s="278"/>
      <c r="AL91" s="279"/>
      <c r="AM91" s="277" t="str">
        <f>IF(OR(AM13=0,AM15=0,AM29=0,AM37=0,AM44=0,AM49=0,AM52=0,AM57=0,AM78=0,AM83=0,AM88=0)=TRUE,"Incomplete data extraction","All information has been successfully registered")</f>
        <v>All information has been successfully registered</v>
      </c>
      <c r="AN91" s="278"/>
      <c r="AO91" s="279"/>
      <c r="AP91" s="277" t="str">
        <f>IF(OR(AP13=0,AP15=0,AP29=0,AP37=0,AP44=0,AP49=0,AP52=0,AP57=0,AP78=0,AP83=0,AP88=0)=TRUE,"Incomplete data extraction","All information has been successfully registered")</f>
        <v>All information has been successfully registered</v>
      </c>
      <c r="AQ91" s="278"/>
      <c r="AR91" s="279"/>
      <c r="AS91" s="277" t="str">
        <f>IF(OR(AS13=0,AS15=0,AS29=0,AS37=0,AS44=0,AS49=0,AS52=0,AS57=0,AS78=0,AS83=0,AS88=0)=TRUE,"Incomplete data extraction","All information has been successfully registered")</f>
        <v>All information has been successfully registered</v>
      </c>
      <c r="AT91" s="278"/>
      <c r="AU91" s="279"/>
      <c r="AV91" s="277" t="str">
        <f>IF(OR(AV13=0,AV15=0,AV29=0,AV37=0,AV44=0,AV49=0,AV52=0,AV57=0,AV78=0,AV83=0,AV88=0)=TRUE,"Incomplete data extraction","All information has been successfully registered")</f>
        <v>All information has been successfully registered</v>
      </c>
      <c r="AW91" s="278"/>
      <c r="AX91" s="279"/>
      <c r="AY91" s="277" t="str">
        <f>IF(OR(AY13=0,AY15=0,AY29=0,AY37=0,AY44=0,AY49=0,AY52=0,AY57=0,AY78=0,AY83=0,AY88=0)=TRUE,"Incomplete data extraction","All information has been successfully registered")</f>
        <v>All information has been successfully registered</v>
      </c>
      <c r="AZ91" s="278"/>
      <c r="BA91" s="279"/>
      <c r="BB91" s="277" t="str">
        <f>IF(OR(BB13=0,BB15=0,BB29=0,BB37=0,BB44=0,BB49=0,BB52=0,BB57=0,BB78=0,BB83=0,BB88=0)=TRUE,"Incomplete data extraction","All information has been successfully registered")</f>
        <v>All information has been successfully registered</v>
      </c>
      <c r="BC91" s="278"/>
      <c r="BD91" s="279"/>
      <c r="BE91" s="277" t="str">
        <f>IF(OR(BE13=0,BE15=0,BE29=0,BE37=0,BE44=0,BE49=0,BE52=0,BE57=0,BE78=0,BE83=0,BE88=0)=TRUE,"Incomplete data extraction","All information has been successfully registered")</f>
        <v>All information has been successfully registered</v>
      </c>
      <c r="BF91" s="278"/>
      <c r="BG91" s="279"/>
      <c r="BH91" s="277" t="str">
        <f>IF(OR(BH13=0,BH15=0,BH29=0,BH37=0,BH44=0,BH49=0,BH52=0,BH57=0,BH78=0,BH83=0,BH88=0)=TRUE,"Incomplete data extraction","All information has been successfully registered")</f>
        <v>All information has been successfully registered</v>
      </c>
      <c r="BI91" s="278"/>
      <c r="BJ91" s="279"/>
      <c r="BK91" s="277" t="str">
        <f>IF(OR(BK13=0,BK15=0,BK29=0,BK37=0,BK44=0,BK49=0,BK52=0,BK57=0,BK78=0,BK83=0,BK88=0)=TRUE,"Incomplete data extraction","All information has been successfully registered")</f>
        <v>All information has been successfully registered</v>
      </c>
      <c r="BL91" s="278"/>
      <c r="BM91" s="279"/>
      <c r="BN91" s="277" t="str">
        <f>IF(OR(BN13=0,BN15=0,BN29=0,BN37=0,BN44=0,BN49=0,BN52=0,BN57=0,BN78=0,BN83=0,BN88=0)=TRUE,"Incomplete data extraction","All information has been successfully registered")</f>
        <v>All information has been successfully registered</v>
      </c>
      <c r="BO91" s="278"/>
      <c r="BP91" s="279"/>
      <c r="BQ91" s="277" t="str">
        <f>IF(OR(BQ13=0,BQ15=0,BQ29=0,BQ37=0,BQ44=0,BQ49=0,BQ52=0,BQ57=0,BQ78=0,BQ83=0,BQ88=0)=TRUE,"Incomplete data extraction","All information has been successfully registered")</f>
        <v>All information has been successfully registered</v>
      </c>
      <c r="BR91" s="278"/>
      <c r="BS91" s="279"/>
      <c r="BT91" s="277" t="str">
        <f>IF(OR(BT13=0,BT15=0,BT29=0,BT37=0,BT44=0,BT49=0,BT52=0,BT57=0,BT78=0,BT83=0,BT88=0)=TRUE,"Incomplete data extraction","All information has been successfully registered")</f>
        <v>All information has been successfully registered</v>
      </c>
      <c r="BU91" s="278"/>
      <c r="BV91" s="279"/>
      <c r="BW91" s="277" t="str">
        <f>IF(OR(BW13=0,BW15=0,BW29=0,BW37=0,BW44=0,BW49=0,BW52=0,BW57=0,BW78=0,BW83=0,BW88=0)=TRUE,"Incomplete data extraction","All information has been successfully registered")</f>
        <v>All information has been successfully registered</v>
      </c>
      <c r="BX91" s="278"/>
      <c r="BY91" s="279"/>
      <c r="BZ91" s="277" t="str">
        <f>IF(OR(BZ13=0,BZ15=0,BZ29=0,BZ37=0,BZ44=0,BZ49=0,BZ52=0,BZ57=0,BZ78=0,BZ83=0,BZ88=0)=TRUE,"Incomplete data extraction","All information has been successfully registered")</f>
        <v>All information has been successfully registered</v>
      </c>
      <c r="CA91" s="278"/>
      <c r="CB91" s="279"/>
      <c r="CC91" s="277" t="str">
        <f>IF(OR(CC13=0,CC15=0,CC29=0,CC37=0,CC44=0,CC49=0,CC52=0,CC57=0,CC78=0,CC83=0,CC88=0)=TRUE,"Incomplete data extraction","All information has been successfully registered")</f>
        <v>All information has been successfully registered</v>
      </c>
      <c r="CD91" s="278"/>
      <c r="CE91" s="279"/>
      <c r="CF91" s="277" t="str">
        <f>IF(OR(CF13=0,CF15=0,CF29=0,CF37=0,CF44=0,CF49=0,CF52=0,CF57=0,CF78=0,CF83=0,CF88=0)=TRUE,"Incomplete data extraction","All information has been successfully registered")</f>
        <v>All information has been successfully registered</v>
      </c>
      <c r="CG91" s="278"/>
      <c r="CH91" s="279"/>
      <c r="CI91" s="277" t="str">
        <f>IF(OR(CI13=0,CI15=0,CI29=0,CI37=0,CI44=0,CI49=0,CI52=0,CI57=0,CI78=0,CI83=0,CI88=0)=TRUE,"Incomplete data extraction","All information has been successfully registered")</f>
        <v>All information has been successfully registered</v>
      </c>
      <c r="CJ91" s="278"/>
      <c r="CK91" s="279"/>
      <c r="CL91" s="277" t="str">
        <f>IF(OR(CL13=0,CL15=0,CL29=0,CL37=0,CL44=0,CL49=0,CL52=0,CL57=0,CL78=0,CL83=0,CL88=0)=TRUE,"Incomplete data extraction","All information has been successfully registered")</f>
        <v>All information has been successfully registered</v>
      </c>
      <c r="CM91" s="278"/>
      <c r="CN91" s="279"/>
      <c r="CO91" s="277" t="str">
        <f>IF(OR(CO13=0,CO15=0,CO29=0,CO37=0,CO44=0,CO49=0,CO52=0,CO57=0,CO78=0,CO83=0,CO88=0)=TRUE,"Incomplete data extraction","All information has been successfully registered")</f>
        <v>All information has been successfully registered</v>
      </c>
      <c r="CP91" s="278"/>
      <c r="CQ91" s="278"/>
    </row>
    <row r="92" spans="1:95" s="14" customFormat="1" ht="90" customHeight="1" thickBot="1" x14ac:dyDescent="0.35">
      <c r="A92" s="75"/>
      <c r="B92" s="76"/>
      <c r="C92" s="76"/>
      <c r="D92" s="352" t="s">
        <v>176</v>
      </c>
      <c r="E92" s="353"/>
      <c r="F92" s="326"/>
      <c r="G92" s="327"/>
      <c r="H92" s="328"/>
      <c r="I92" s="326"/>
      <c r="J92" s="327"/>
      <c r="K92" s="328"/>
      <c r="L92" s="326"/>
      <c r="M92" s="327"/>
      <c r="N92" s="328"/>
      <c r="O92" s="326"/>
      <c r="P92" s="327"/>
      <c r="Q92" s="328"/>
      <c r="R92" s="326"/>
      <c r="S92" s="327"/>
      <c r="T92" s="328"/>
      <c r="U92" s="326"/>
      <c r="V92" s="327"/>
      <c r="W92" s="328"/>
      <c r="X92" s="326"/>
      <c r="Y92" s="327"/>
      <c r="Z92" s="328"/>
      <c r="AA92" s="326"/>
      <c r="AB92" s="327"/>
      <c r="AC92" s="328"/>
      <c r="AD92" s="326"/>
      <c r="AE92" s="327"/>
      <c r="AF92" s="328"/>
      <c r="AG92" s="326"/>
      <c r="AH92" s="327"/>
      <c r="AI92" s="328"/>
      <c r="AJ92" s="326"/>
      <c r="AK92" s="327"/>
      <c r="AL92" s="328"/>
      <c r="AM92" s="326"/>
      <c r="AN92" s="327"/>
      <c r="AO92" s="328"/>
      <c r="AP92" s="326"/>
      <c r="AQ92" s="327"/>
      <c r="AR92" s="328"/>
      <c r="AS92" s="326"/>
      <c r="AT92" s="327"/>
      <c r="AU92" s="328"/>
      <c r="AV92" s="326"/>
      <c r="AW92" s="327"/>
      <c r="AX92" s="328"/>
      <c r="AY92" s="326"/>
      <c r="AZ92" s="327"/>
      <c r="BA92" s="328"/>
      <c r="BB92" s="326"/>
      <c r="BC92" s="327"/>
      <c r="BD92" s="328"/>
      <c r="BE92" s="326"/>
      <c r="BF92" s="327"/>
      <c r="BG92" s="328"/>
      <c r="BH92" s="326"/>
      <c r="BI92" s="327"/>
      <c r="BJ92" s="328"/>
      <c r="BK92" s="326"/>
      <c r="BL92" s="327"/>
      <c r="BM92" s="328"/>
      <c r="BN92" s="326"/>
      <c r="BO92" s="327"/>
      <c r="BP92" s="328"/>
      <c r="BQ92" s="326"/>
      <c r="BR92" s="327"/>
      <c r="BS92" s="328"/>
      <c r="BT92" s="326"/>
      <c r="BU92" s="327"/>
      <c r="BV92" s="328"/>
      <c r="BW92" s="326"/>
      <c r="BX92" s="327"/>
      <c r="BY92" s="328"/>
      <c r="BZ92" s="326"/>
      <c r="CA92" s="327"/>
      <c r="CB92" s="328"/>
      <c r="CC92" s="326"/>
      <c r="CD92" s="327"/>
      <c r="CE92" s="328"/>
      <c r="CF92" s="326"/>
      <c r="CG92" s="327"/>
      <c r="CH92" s="328"/>
      <c r="CI92" s="326"/>
      <c r="CJ92" s="327"/>
      <c r="CK92" s="328"/>
      <c r="CL92" s="326"/>
      <c r="CM92" s="327"/>
      <c r="CN92" s="328"/>
      <c r="CO92" s="326"/>
      <c r="CP92" s="327"/>
      <c r="CQ92" s="327"/>
    </row>
    <row r="93" spans="1:95" s="82" customFormat="1" x14ac:dyDescent="0.3">
      <c r="A93" s="77" t="s">
        <v>177</v>
      </c>
      <c r="B93" s="78"/>
      <c r="C93" s="77"/>
      <c r="D93" s="77"/>
      <c r="E93" s="77"/>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row>
    <row r="94" spans="1:95" s="82" customFormat="1" x14ac:dyDescent="0.3">
      <c r="A94" s="83"/>
      <c r="B94" s="83"/>
      <c r="C94" s="84"/>
      <c r="D94" s="84"/>
      <c r="E94" s="84"/>
    </row>
    <row r="95" spans="1:95" s="87" customFormat="1" ht="15" customHeight="1" x14ac:dyDescent="0.3">
      <c r="A95" s="85"/>
      <c r="B95" s="85"/>
      <c r="C95" s="86"/>
      <c r="D95" s="86"/>
      <c r="E95" s="86"/>
      <c r="F95" s="87">
        <f>IF(F8="","NA",COUNTBLANK(F8:F12)+COUNTBLANK(F14)+COUNTBLANK(F16:F22)+COUNTBLANK(F30:F36)+COUNTBLANK(F38:F43)+COUNTBLANK(F45:F48)+COUNTBLANK(F50:F51)+COUNTBLANK(F53:F56)+COUNTBLANK(F58:F74)+COUNTBLANK(F79:F82)+COUNTBLANK(F84:F87)+COUNTBLANK(F89))</f>
        <v>1</v>
      </c>
      <c r="I95" s="87">
        <f>IF(I8="","NA",COUNTBLANK(I8:I12)+COUNTBLANK(I14)+COUNTBLANK(I16:I22)+COUNTBLANK(I30:I36)+COUNTBLANK(I38:I43)+COUNTBLANK(I45:I48)+COUNTBLANK(I50:I51)+COUNTBLANK(I53:I56)+COUNTBLANK(I58:I74)+COUNTBLANK(I79:I82)+COUNTBLANK(I84:I87)+COUNTBLANK(I89))</f>
        <v>1</v>
      </c>
      <c r="L95" s="87">
        <f>IF(L8="","NA",COUNTBLANK(L8:L12)+COUNTBLANK(L14)+COUNTBLANK(L16:L22)+COUNTBLANK(L30:L36)+COUNTBLANK(L38:L43)+COUNTBLANK(L45:L48)+COUNTBLANK(L50:L51)+COUNTBLANK(L53:L56)+COUNTBLANK(L58:L74)+COUNTBLANK(L79:L82)+COUNTBLANK(L84:L87)+COUNTBLANK(L89))</f>
        <v>1</v>
      </c>
      <c r="O95" s="87">
        <f>IF(O8="","NA",COUNTBLANK(O8:O12)+COUNTBLANK(O14)+COUNTBLANK(O16:O22)+COUNTBLANK(O30:O36)+COUNTBLANK(O38:O43)+COUNTBLANK(O45:O48)+COUNTBLANK(O50:O51)+COUNTBLANK(O53:O56)+COUNTBLANK(O58:O74)+COUNTBLANK(O79:O82)+COUNTBLANK(O84:O87)+COUNTBLANK(O89))</f>
        <v>1</v>
      </c>
      <c r="R95" s="87">
        <f>IF(R8="","NA",COUNTBLANK(R8:R12)+COUNTBLANK(R14)+COUNTBLANK(R16:R22)+COUNTBLANK(R30:R36)+COUNTBLANK(R38:R43)+COUNTBLANK(R45:R48)+COUNTBLANK(R50:R51)+COUNTBLANK(R53:R56)+COUNTBLANK(R58:R74)+COUNTBLANK(R79:R82)+COUNTBLANK(R84:R87)+COUNTBLANK(R89))</f>
        <v>1</v>
      </c>
      <c r="U95" s="87">
        <f>IF(U8="","NA",COUNTBLANK(U8:U12)+COUNTBLANK(U14)+COUNTBLANK(U16:U22)+COUNTBLANK(U30:U36)+COUNTBLANK(U38:U43)+COUNTBLANK(U45:U48)+COUNTBLANK(U50:U51)+COUNTBLANK(U53:U56)+COUNTBLANK(U58:U74)+COUNTBLANK(U79:U82)+COUNTBLANK(U84:U87)+COUNTBLANK(U89))</f>
        <v>1</v>
      </c>
      <c r="X95" s="87">
        <f>IF(X8="","NA",COUNTBLANK(X8:X12)+COUNTBLANK(X14)+COUNTBLANK(X16:X22)+COUNTBLANK(X30:X36)+COUNTBLANK(X38:X43)+COUNTBLANK(X45:X48)+COUNTBLANK(X50:X51)+COUNTBLANK(X53:X56)+COUNTBLANK(X58:X74)+COUNTBLANK(X79:X82)+COUNTBLANK(X84:X87)+COUNTBLANK(X89))</f>
        <v>1</v>
      </c>
      <c r="AA95" s="87">
        <f>IF(AA8="","NA",COUNTBLANK(AA8:AA12)+COUNTBLANK(AA14)+COUNTBLANK(AA16:AA22)+COUNTBLANK(AA30:AA36)+COUNTBLANK(AA38:AA43)+COUNTBLANK(AA45:AA48)+COUNTBLANK(AA50:AA51)+COUNTBLANK(AA53:AA56)+COUNTBLANK(AA58:AA74)+COUNTBLANK(AA79:AA82)+COUNTBLANK(AA84:AA87)+COUNTBLANK(AA89))</f>
        <v>1</v>
      </c>
      <c r="AD95" s="87">
        <f>IF(AD8="","NA",COUNTBLANK(AD8:AD12)+COUNTBLANK(AD14)+COUNTBLANK(AD16:AD22)+COUNTBLANK(AD30:AD36)+COUNTBLANK(AD38:AD43)+COUNTBLANK(AD45:AD48)+COUNTBLANK(AD50:AD51)+COUNTBLANK(AD53:AD56)+COUNTBLANK(AD58:AD74)+COUNTBLANK(AD79:AD82)+COUNTBLANK(AD84:AD87)+COUNTBLANK(AD89))</f>
        <v>1</v>
      </c>
      <c r="AG95" s="87">
        <f>IF(AG8="","NA",COUNTBLANK(AG8:AG12)+COUNTBLANK(AG14)+COUNTBLANK(AG16:AG22)+COUNTBLANK(AG30:AG36)+COUNTBLANK(AG38:AG43)+COUNTBLANK(AG45:AG48)+COUNTBLANK(AG50:AG51)+COUNTBLANK(AG53:AG56)+COUNTBLANK(AG58:AG74)+COUNTBLANK(AG79:AG82)+COUNTBLANK(AG84:AG87)+COUNTBLANK(AG89))</f>
        <v>1</v>
      </c>
      <c r="AJ95" s="87">
        <f>IF(AJ8="","NA",COUNTBLANK(AJ8:AJ12)+COUNTBLANK(AJ14)+COUNTBLANK(AJ16:AJ22)+COUNTBLANK(AJ30:AJ36)+COUNTBLANK(AJ38:AJ43)+COUNTBLANK(AJ45:AJ48)+COUNTBLANK(AJ50:AJ51)+COUNTBLANK(AJ53:AJ56)+COUNTBLANK(AJ58:AJ74)+COUNTBLANK(AJ79:AJ82)+COUNTBLANK(AJ84:AJ87)+COUNTBLANK(AJ89))</f>
        <v>1</v>
      </c>
      <c r="AM95" s="87" t="str">
        <f>IF(AM8="","NA",COUNTBLANK(AM8:AM12)+COUNTBLANK(AM14)+COUNTBLANK(AM16:AM22)+COUNTBLANK(AM30:AM36)+COUNTBLANK(AM38:AM43)+COUNTBLANK(AM45:AM48)+COUNTBLANK(AM50:AM51)+COUNTBLANK(AM53:AM56)+COUNTBLANK(AM58:AM74)+COUNTBLANK(AM79:AM82)+COUNTBLANK(AM84:AM87)+COUNTBLANK(AM89))</f>
        <v>NA</v>
      </c>
      <c r="AP95" s="87" t="str">
        <f>IF(AP8="","NA",COUNTBLANK(AP8:AP12)+COUNTBLANK(AP14)+COUNTBLANK(AP16:AP22)+COUNTBLANK(AP30:AP36)+COUNTBLANK(AP38:AP43)+COUNTBLANK(AP45:AP48)+COUNTBLANK(AP50:AP51)+COUNTBLANK(AP53:AP56)+COUNTBLANK(AP58:AP74)+COUNTBLANK(AP79:AP82)+COUNTBLANK(AP84:AP87)+COUNTBLANK(AP89))</f>
        <v>NA</v>
      </c>
      <c r="AS95" s="87" t="str">
        <f>IF(AS8="","NA",COUNTBLANK(AS8:AS12)+COUNTBLANK(AS14)+COUNTBLANK(AS16:AS22)+COUNTBLANK(AS30:AS36)+COUNTBLANK(AS38:AS43)+COUNTBLANK(AS45:AS48)+COUNTBLANK(AS50:AS51)+COUNTBLANK(AS53:AS56)+COUNTBLANK(AS58:AS74)+COUNTBLANK(AS79:AS82)+COUNTBLANK(AS84:AS87)+COUNTBLANK(AS89))</f>
        <v>NA</v>
      </c>
      <c r="AV95" s="87" t="str">
        <f>IF(AV8="","NA",COUNTBLANK(AV8:AV12)+COUNTBLANK(AV14)+COUNTBLANK(AV16:AV22)+COUNTBLANK(AV30:AV36)+COUNTBLANK(AV38:AV43)+COUNTBLANK(AV45:AV48)+COUNTBLANK(AV50:AV51)+COUNTBLANK(AV53:AV56)+COUNTBLANK(AV58:AV74)+COUNTBLANK(AV79:AV82)+COUNTBLANK(AV84:AV87)+COUNTBLANK(AV89))</f>
        <v>NA</v>
      </c>
      <c r="AY95" s="87" t="str">
        <f>IF(AY8="","NA",COUNTBLANK(AY8:AY12)+COUNTBLANK(AY14)+COUNTBLANK(AY16:AY22)+COUNTBLANK(AY30:AY36)+COUNTBLANK(AY38:AY43)+COUNTBLANK(AY45:AY48)+COUNTBLANK(AY50:AY51)+COUNTBLANK(AY53:AY56)+COUNTBLANK(AY58:AY74)+COUNTBLANK(AY79:AY82)+COUNTBLANK(AY84:AY87)+COUNTBLANK(AY89))</f>
        <v>NA</v>
      </c>
      <c r="BB95" s="87" t="str">
        <f>IF(BB8="","NA",COUNTBLANK(BB8:BB12)+COUNTBLANK(BB14)+COUNTBLANK(BB16:BB22)+COUNTBLANK(BB30:BB36)+COUNTBLANK(BB38:BB43)+COUNTBLANK(BB45:BB48)+COUNTBLANK(BB50:BB51)+COUNTBLANK(BB53:BB56)+COUNTBLANK(BB58:BB74)+COUNTBLANK(BB79:BB82)+COUNTBLANK(BB84:BB87)+COUNTBLANK(BB89))</f>
        <v>NA</v>
      </c>
      <c r="BE95" s="87" t="str">
        <f>IF(BE8="","NA",COUNTBLANK(BE8:BE12)+COUNTBLANK(BE14)+COUNTBLANK(BE16:BE22)+COUNTBLANK(BE30:BE36)+COUNTBLANK(BE38:BE43)+COUNTBLANK(BE45:BE48)+COUNTBLANK(BE50:BE51)+COUNTBLANK(BE53:BE56)+COUNTBLANK(BE58:BE74)+COUNTBLANK(BE79:BE82)+COUNTBLANK(BE84:BE87)+COUNTBLANK(BE89))</f>
        <v>NA</v>
      </c>
      <c r="BH95" s="87" t="str">
        <f>IF(BH8="","NA",COUNTBLANK(BH8:BH12)+COUNTBLANK(BH14)+COUNTBLANK(BH16:BH22)+COUNTBLANK(BH30:BH36)+COUNTBLANK(BH38:BH43)+COUNTBLANK(BH45:BH48)+COUNTBLANK(BH50:BH51)+COUNTBLANK(BH53:BH56)+COUNTBLANK(BH58:BH74)+COUNTBLANK(BH79:BH82)+COUNTBLANK(BH84:BH87)+COUNTBLANK(BH89))</f>
        <v>NA</v>
      </c>
      <c r="BK95" s="87" t="str">
        <f>IF(BK8="","NA",COUNTBLANK(BK8:BK12)+COUNTBLANK(BK14)+COUNTBLANK(BK16:BK22)+COUNTBLANK(BK30:BK36)+COUNTBLANK(BK38:BK43)+COUNTBLANK(BK45:BK48)+COUNTBLANK(BK50:BK51)+COUNTBLANK(BK53:BK56)+COUNTBLANK(BK58:BK74)+COUNTBLANK(BK79:BK82)+COUNTBLANK(BK84:BK87)+COUNTBLANK(BK89))</f>
        <v>NA</v>
      </c>
      <c r="BN95" s="87" t="str">
        <f>IF(BN8="","NA",COUNTBLANK(BN8:BN12)+COUNTBLANK(BN14)+COUNTBLANK(BN16:BN22)+COUNTBLANK(BN30:BN36)+COUNTBLANK(BN38:BN43)+COUNTBLANK(BN45:BN48)+COUNTBLANK(BN50:BN51)+COUNTBLANK(BN53:BN56)+COUNTBLANK(BN58:BN74)+COUNTBLANK(BN79:BN82)+COUNTBLANK(BN84:BN87)+COUNTBLANK(BN89))</f>
        <v>NA</v>
      </c>
      <c r="BQ95" s="87" t="str">
        <f>IF(BQ8="","NA",COUNTBLANK(BQ8:BQ12)+COUNTBLANK(BQ14)+COUNTBLANK(BQ16:BQ22)+COUNTBLANK(BQ30:BQ36)+COUNTBLANK(BQ38:BQ43)+COUNTBLANK(BQ45:BQ48)+COUNTBLANK(BQ50:BQ51)+COUNTBLANK(BQ53:BQ56)+COUNTBLANK(BQ58:BQ74)+COUNTBLANK(BQ79:BQ82)+COUNTBLANK(BQ84:BQ87)+COUNTBLANK(BQ89))</f>
        <v>NA</v>
      </c>
      <c r="BT95" s="87" t="str">
        <f>IF(BT8="","NA",COUNTBLANK(BT8:BT12)+COUNTBLANK(BT14)+COUNTBLANK(BT16:BT22)+COUNTBLANK(BT30:BT36)+COUNTBLANK(BT38:BT43)+COUNTBLANK(BT45:BT48)+COUNTBLANK(BT50:BT51)+COUNTBLANK(BT53:BT56)+COUNTBLANK(BT58:BT74)+COUNTBLANK(BT79:BT82)+COUNTBLANK(BT84:BT87)+COUNTBLANK(BT89))</f>
        <v>NA</v>
      </c>
      <c r="BW95" s="87" t="str">
        <f>IF(BW8="","NA",COUNTBLANK(BW8:BW12)+COUNTBLANK(BW14)+COUNTBLANK(BW16:BW22)+COUNTBLANK(BW30:BW36)+COUNTBLANK(BW38:BW43)+COUNTBLANK(BW45:BW48)+COUNTBLANK(BW50:BW51)+COUNTBLANK(BW53:BW56)+COUNTBLANK(BW58:BW74)+COUNTBLANK(BW79:BW82)+COUNTBLANK(BW84:BW87)+COUNTBLANK(BW89))</f>
        <v>NA</v>
      </c>
      <c r="BZ95" s="87" t="str">
        <f>IF(BZ8="","NA",COUNTBLANK(BZ8:BZ12)+COUNTBLANK(BZ14)+COUNTBLANK(BZ16:BZ22)+COUNTBLANK(BZ30:BZ36)+COUNTBLANK(BZ38:BZ43)+COUNTBLANK(BZ45:BZ48)+COUNTBLANK(BZ50:BZ51)+COUNTBLANK(BZ53:BZ56)+COUNTBLANK(BZ58:BZ74)+COUNTBLANK(BZ79:BZ82)+COUNTBLANK(BZ84:BZ87)+COUNTBLANK(BZ89))</f>
        <v>NA</v>
      </c>
      <c r="CC95" s="87" t="str">
        <f>IF(CC8="","NA",COUNTBLANK(CC8:CC12)+COUNTBLANK(CC14)+COUNTBLANK(CC16:CC22)+COUNTBLANK(CC30:CC36)+COUNTBLANK(CC38:CC43)+COUNTBLANK(CC45:CC48)+COUNTBLANK(CC50:CC51)+COUNTBLANK(CC53:CC56)+COUNTBLANK(CC58:CC74)+COUNTBLANK(CC79:CC82)+COUNTBLANK(CC84:CC87)+COUNTBLANK(CC89))</f>
        <v>NA</v>
      </c>
      <c r="CF95" s="87" t="str">
        <f>IF(CF8="","NA",COUNTBLANK(CF8:CF12)+COUNTBLANK(CF14)+COUNTBLANK(CF16:CF22)+COUNTBLANK(CF30:CF36)+COUNTBLANK(CF38:CF43)+COUNTBLANK(CF45:CF48)+COUNTBLANK(CF50:CF51)+COUNTBLANK(CF53:CF56)+COUNTBLANK(CF58:CF74)+COUNTBLANK(CF79:CF82)+COUNTBLANK(CF84:CF87)+COUNTBLANK(CF89))</f>
        <v>NA</v>
      </c>
      <c r="CI95" s="87" t="str">
        <f>IF(CI8="","NA",COUNTBLANK(CI8:CI12)+COUNTBLANK(CI14)+COUNTBLANK(CI16:CI22)+COUNTBLANK(CI30:CI36)+COUNTBLANK(CI38:CI43)+COUNTBLANK(CI45:CI48)+COUNTBLANK(CI50:CI51)+COUNTBLANK(CI53:CI56)+COUNTBLANK(CI58:CI74)+COUNTBLANK(CI79:CI82)+COUNTBLANK(CI84:CI87)+COUNTBLANK(CI89))</f>
        <v>NA</v>
      </c>
      <c r="CL95" s="87" t="str">
        <f>IF(CL8="","NA",COUNTBLANK(CL8:CL12)+COUNTBLANK(CL14)+COUNTBLANK(CL16:CL22)+COUNTBLANK(CL30:CL36)+COUNTBLANK(CL38:CL43)+COUNTBLANK(CL45:CL48)+COUNTBLANK(CL50:CL51)+COUNTBLANK(CL53:CL56)+COUNTBLANK(CL58:CL74)+COUNTBLANK(CL79:CL82)+COUNTBLANK(CL84:CL87)+COUNTBLANK(CL89))</f>
        <v>NA</v>
      </c>
      <c r="CO95" s="87" t="str">
        <f>IF(CO8="","NA",COUNTBLANK(CO8:CO12)+COUNTBLANK(CO14)+COUNTBLANK(CO16:CO22)+COUNTBLANK(CO30:CO36)+COUNTBLANK(CO38:CO43)+COUNTBLANK(CO45:CO48)+COUNTBLANK(CO50:CO51)+COUNTBLANK(CO53:CO56)+COUNTBLANK(CO58:CO74)+COUNTBLANK(CO79:CO82)+COUNTBLANK(CO84:CO87)+COUNTBLANK(CO89))</f>
        <v>NA</v>
      </c>
    </row>
    <row r="96" spans="1:95" x14ac:dyDescent="0.3">
      <c r="G96" s="25"/>
    </row>
  </sheetData>
  <mergeCells count="2031">
    <mergeCell ref="F76:H76"/>
    <mergeCell ref="D76:E76"/>
    <mergeCell ref="CL76:CN76"/>
    <mergeCell ref="CI76:CK76"/>
    <mergeCell ref="CF76:CH76"/>
    <mergeCell ref="CC76:CE76"/>
    <mergeCell ref="BZ76:CB76"/>
    <mergeCell ref="BW76:BY76"/>
    <mergeCell ref="BT76:BV76"/>
    <mergeCell ref="BQ76:BS76"/>
    <mergeCell ref="BN76:BP76"/>
    <mergeCell ref="BK76:BM76"/>
    <mergeCell ref="BH76:BJ76"/>
    <mergeCell ref="BE76:BG76"/>
    <mergeCell ref="BB76:BD76"/>
    <mergeCell ref="AY76:BA76"/>
    <mergeCell ref="AV76:AX76"/>
    <mergeCell ref="AS76:AU76"/>
    <mergeCell ref="AP76:AR76"/>
    <mergeCell ref="F75:H75"/>
    <mergeCell ref="I75:K75"/>
    <mergeCell ref="L75:N75"/>
    <mergeCell ref="O75:Q75"/>
    <mergeCell ref="CO75:CQ75"/>
    <mergeCell ref="CL75:CN75"/>
    <mergeCell ref="CI75:CK75"/>
    <mergeCell ref="CF75:CH75"/>
    <mergeCell ref="CC75:CE75"/>
    <mergeCell ref="BZ75:CB75"/>
    <mergeCell ref="BW75:BY75"/>
    <mergeCell ref="BT75:BV75"/>
    <mergeCell ref="BQ75:BS75"/>
    <mergeCell ref="BN75:BP75"/>
    <mergeCell ref="BK75:BM75"/>
    <mergeCell ref="BH75:BJ75"/>
    <mergeCell ref="BE75:BG75"/>
    <mergeCell ref="BB75:BD75"/>
    <mergeCell ref="AY75:BA75"/>
    <mergeCell ref="AV75:AX75"/>
    <mergeCell ref="AS75:AU75"/>
    <mergeCell ref="AP75:AR75"/>
    <mergeCell ref="AM75:AO75"/>
    <mergeCell ref="AJ75:AL75"/>
    <mergeCell ref="AG75:AI75"/>
    <mergeCell ref="AD75:AF75"/>
    <mergeCell ref="AA75:AC75"/>
    <mergeCell ref="X75:Z75"/>
    <mergeCell ref="U75:W75"/>
    <mergeCell ref="R75:T75"/>
    <mergeCell ref="D92:E92"/>
    <mergeCell ref="D91:E91"/>
    <mergeCell ref="A90:E90"/>
    <mergeCell ref="D89:E89"/>
    <mergeCell ref="A88:E88"/>
    <mergeCell ref="D87:E87"/>
    <mergeCell ref="D86:E86"/>
    <mergeCell ref="D85:E85"/>
    <mergeCell ref="D84:E84"/>
    <mergeCell ref="A83:E83"/>
    <mergeCell ref="A52:E52"/>
    <mergeCell ref="A49:E49"/>
    <mergeCell ref="A44:E44"/>
    <mergeCell ref="D51:E51"/>
    <mergeCell ref="D50:E50"/>
    <mergeCell ref="D48:E48"/>
    <mergeCell ref="D46:E46"/>
    <mergeCell ref="D45:E45"/>
    <mergeCell ref="A57:E57"/>
    <mergeCell ref="D75:E75"/>
    <mergeCell ref="D77:E77"/>
    <mergeCell ref="D43:E43"/>
    <mergeCell ref="D42:E42"/>
    <mergeCell ref="D41:E41"/>
    <mergeCell ref="D40:E40"/>
    <mergeCell ref="D82:E82"/>
    <mergeCell ref="D81:E81"/>
    <mergeCell ref="D80:E80"/>
    <mergeCell ref="D79:E79"/>
    <mergeCell ref="A78:E78"/>
    <mergeCell ref="D74:E74"/>
    <mergeCell ref="D73:E73"/>
    <mergeCell ref="D72:E72"/>
    <mergeCell ref="D56:E56"/>
    <mergeCell ref="D55:E55"/>
    <mergeCell ref="D54:E54"/>
    <mergeCell ref="D53:E53"/>
    <mergeCell ref="D71:E71"/>
    <mergeCell ref="D70:E70"/>
    <mergeCell ref="D69:E69"/>
    <mergeCell ref="D68:E68"/>
    <mergeCell ref="D67:E67"/>
    <mergeCell ref="D66:E66"/>
    <mergeCell ref="D65:E65"/>
    <mergeCell ref="D64:E64"/>
    <mergeCell ref="D63:E63"/>
    <mergeCell ref="D62:E62"/>
    <mergeCell ref="D61:E61"/>
    <mergeCell ref="D60:E60"/>
    <mergeCell ref="D59:E59"/>
    <mergeCell ref="D58:E58"/>
    <mergeCell ref="D39:E39"/>
    <mergeCell ref="D38:E38"/>
    <mergeCell ref="D36:E36"/>
    <mergeCell ref="D35:E35"/>
    <mergeCell ref="D34:E34"/>
    <mergeCell ref="D6:E6"/>
    <mergeCell ref="A7:E7"/>
    <mergeCell ref="D8:E8"/>
    <mergeCell ref="D9:E9"/>
    <mergeCell ref="D22:E22"/>
    <mergeCell ref="D21:E21"/>
    <mergeCell ref="D20:E20"/>
    <mergeCell ref="D19:E19"/>
    <mergeCell ref="D18:E18"/>
    <mergeCell ref="D17:E17"/>
    <mergeCell ref="D16:E16"/>
    <mergeCell ref="A15:E15"/>
    <mergeCell ref="D14:E14"/>
    <mergeCell ref="A13:E13"/>
    <mergeCell ref="D12:E12"/>
    <mergeCell ref="D11:E11"/>
    <mergeCell ref="D10:E10"/>
    <mergeCell ref="D33:E33"/>
    <mergeCell ref="D32:E32"/>
    <mergeCell ref="D31:E31"/>
    <mergeCell ref="D30:E30"/>
    <mergeCell ref="A29:E29"/>
    <mergeCell ref="A37:E37"/>
    <mergeCell ref="CF28:CG28"/>
    <mergeCell ref="CI28:CJ28"/>
    <mergeCell ref="CL28:CM28"/>
    <mergeCell ref="CO28:CP28"/>
    <mergeCell ref="BN27:BO27"/>
    <mergeCell ref="BQ27:BR27"/>
    <mergeCell ref="BT27:BU27"/>
    <mergeCell ref="BW27:BX27"/>
    <mergeCell ref="BZ27:CA27"/>
    <mergeCell ref="CC27:CD27"/>
    <mergeCell ref="CF27:CG27"/>
    <mergeCell ref="CI27:CJ27"/>
    <mergeCell ref="CL27:CM27"/>
    <mergeCell ref="CO27:CP27"/>
    <mergeCell ref="U28:V28"/>
    <mergeCell ref="X28:Y28"/>
    <mergeCell ref="AA28:AB28"/>
    <mergeCell ref="AD28:AE28"/>
    <mergeCell ref="AG28:AH28"/>
    <mergeCell ref="AJ28:AK28"/>
    <mergeCell ref="AM28:AN28"/>
    <mergeCell ref="AP28:AQ28"/>
    <mergeCell ref="AS28:AT28"/>
    <mergeCell ref="AV28:AW28"/>
    <mergeCell ref="AY28:AZ28"/>
    <mergeCell ref="BB28:BC28"/>
    <mergeCell ref="BE28:BF28"/>
    <mergeCell ref="BH28:BI28"/>
    <mergeCell ref="BN28:BO28"/>
    <mergeCell ref="BQ28:BR28"/>
    <mergeCell ref="BT28:BU28"/>
    <mergeCell ref="BK28:BL28"/>
    <mergeCell ref="CO26:CP26"/>
    <mergeCell ref="L27:M27"/>
    <mergeCell ref="O27:P27"/>
    <mergeCell ref="R27:S27"/>
    <mergeCell ref="U27:V27"/>
    <mergeCell ref="X27:Y27"/>
    <mergeCell ref="AA27:AB27"/>
    <mergeCell ref="AD27:AE27"/>
    <mergeCell ref="AG27:AH27"/>
    <mergeCell ref="AJ27:AK27"/>
    <mergeCell ref="AM27:AN27"/>
    <mergeCell ref="AP27:AQ27"/>
    <mergeCell ref="AS27:AT27"/>
    <mergeCell ref="AV27:AW27"/>
    <mergeCell ref="AY27:AZ27"/>
    <mergeCell ref="BB27:BC27"/>
    <mergeCell ref="BE27:BF27"/>
    <mergeCell ref="BH27:BI27"/>
    <mergeCell ref="BK27:BL27"/>
    <mergeCell ref="BB26:BC26"/>
    <mergeCell ref="BE26:BF26"/>
    <mergeCell ref="BH26:BI26"/>
    <mergeCell ref="BK26:BL26"/>
    <mergeCell ref="BN26:BO26"/>
    <mergeCell ref="BQ26:BR26"/>
    <mergeCell ref="BT26:BU26"/>
    <mergeCell ref="BW26:BX26"/>
    <mergeCell ref="BZ26:CA26"/>
    <mergeCell ref="CC26:CD26"/>
    <mergeCell ref="CF26:CG26"/>
    <mergeCell ref="CI26:CJ26"/>
    <mergeCell ref="CL26:CM26"/>
    <mergeCell ref="CF24:CG24"/>
    <mergeCell ref="CI24:CJ24"/>
    <mergeCell ref="CL24:CM24"/>
    <mergeCell ref="CO24:CP24"/>
    <mergeCell ref="L25:M25"/>
    <mergeCell ref="O25:P25"/>
    <mergeCell ref="R25:S25"/>
    <mergeCell ref="U25:V25"/>
    <mergeCell ref="X25:Y25"/>
    <mergeCell ref="AA25:AB25"/>
    <mergeCell ref="AD25:AE25"/>
    <mergeCell ref="AG25:AH25"/>
    <mergeCell ref="AJ25:AK25"/>
    <mergeCell ref="AM25:AN25"/>
    <mergeCell ref="AP25:AQ25"/>
    <mergeCell ref="AS25:AT25"/>
    <mergeCell ref="AV25:AW25"/>
    <mergeCell ref="AY25:AZ25"/>
    <mergeCell ref="BB25:BC25"/>
    <mergeCell ref="BE25:BF25"/>
    <mergeCell ref="BH25:BI25"/>
    <mergeCell ref="BK25:BL25"/>
    <mergeCell ref="BN25:BO25"/>
    <mergeCell ref="BQ25:BR25"/>
    <mergeCell ref="BT25:BU25"/>
    <mergeCell ref="BW25:BX25"/>
    <mergeCell ref="BZ25:CA25"/>
    <mergeCell ref="CC25:CD25"/>
    <mergeCell ref="CF25:CG25"/>
    <mergeCell ref="CI25:CJ25"/>
    <mergeCell ref="CL25:CM25"/>
    <mergeCell ref="CO25:CP25"/>
    <mergeCell ref="L28:M28"/>
    <mergeCell ref="O28:P28"/>
    <mergeCell ref="R28:S28"/>
    <mergeCell ref="CC23:CD23"/>
    <mergeCell ref="CF23:CG23"/>
    <mergeCell ref="CI23:CJ23"/>
    <mergeCell ref="CL23:CM23"/>
    <mergeCell ref="CO23:CP23"/>
    <mergeCell ref="L24:M24"/>
    <mergeCell ref="O24:P24"/>
    <mergeCell ref="R24:S24"/>
    <mergeCell ref="U24:V24"/>
    <mergeCell ref="X24:Y24"/>
    <mergeCell ref="AA24:AB24"/>
    <mergeCell ref="AD24:AE24"/>
    <mergeCell ref="AG24:AH24"/>
    <mergeCell ref="AJ24:AK24"/>
    <mergeCell ref="AM24:AN24"/>
    <mergeCell ref="AP24:AQ24"/>
    <mergeCell ref="AS24:AT24"/>
    <mergeCell ref="AV24:AW24"/>
    <mergeCell ref="AY24:AZ24"/>
    <mergeCell ref="BB24:BC24"/>
    <mergeCell ref="BE24:BF24"/>
    <mergeCell ref="BH24:BI24"/>
    <mergeCell ref="BK24:BL24"/>
    <mergeCell ref="BN24:BO24"/>
    <mergeCell ref="BQ24:BR24"/>
    <mergeCell ref="BT24:BU24"/>
    <mergeCell ref="BW24:BX24"/>
    <mergeCell ref="BZ24:CA24"/>
    <mergeCell ref="CC24:CD24"/>
    <mergeCell ref="AG23:AH23"/>
    <mergeCell ref="AJ23:AK23"/>
    <mergeCell ref="AM23:AN23"/>
    <mergeCell ref="AP23:AQ23"/>
    <mergeCell ref="AS23:AT23"/>
    <mergeCell ref="AV23:AW23"/>
    <mergeCell ref="AY23:AZ23"/>
    <mergeCell ref="L26:M26"/>
    <mergeCell ref="O26:P26"/>
    <mergeCell ref="R26:S26"/>
    <mergeCell ref="U26:V26"/>
    <mergeCell ref="X26:Y26"/>
    <mergeCell ref="AA26:AB26"/>
    <mergeCell ref="AD26:AE26"/>
    <mergeCell ref="AG26:AH26"/>
    <mergeCell ref="AJ26:AK26"/>
    <mergeCell ref="AM26:AN26"/>
    <mergeCell ref="AP26:AQ26"/>
    <mergeCell ref="AS26:AT26"/>
    <mergeCell ref="AV26:AW26"/>
    <mergeCell ref="AY26:AZ26"/>
    <mergeCell ref="BB92:BD92"/>
    <mergeCell ref="BE92:BG92"/>
    <mergeCell ref="BN92:BP92"/>
    <mergeCell ref="BQ92:BS92"/>
    <mergeCell ref="BT92:BV92"/>
    <mergeCell ref="BW92:BY92"/>
    <mergeCell ref="BZ92:CB92"/>
    <mergeCell ref="CC92:CE92"/>
    <mergeCell ref="CF92:CH92"/>
    <mergeCell ref="CI92:CK92"/>
    <mergeCell ref="CL92:CN92"/>
    <mergeCell ref="CO92:CQ92"/>
    <mergeCell ref="BE91:BG91"/>
    <mergeCell ref="BH91:BJ91"/>
    <mergeCell ref="BK91:BM91"/>
    <mergeCell ref="BN91:BP91"/>
    <mergeCell ref="BQ91:BS91"/>
    <mergeCell ref="BT91:BV91"/>
    <mergeCell ref="BW91:BY91"/>
    <mergeCell ref="BZ91:CB91"/>
    <mergeCell ref="CC91:CE91"/>
    <mergeCell ref="CF91:CH91"/>
    <mergeCell ref="CI91:CK91"/>
    <mergeCell ref="CL91:CN91"/>
    <mergeCell ref="CO91:CQ91"/>
    <mergeCell ref="BH92:BJ92"/>
    <mergeCell ref="BK92:BM92"/>
    <mergeCell ref="F92:H92"/>
    <mergeCell ref="I91:K91"/>
    <mergeCell ref="L91:N91"/>
    <mergeCell ref="O91:Q91"/>
    <mergeCell ref="R91:T91"/>
    <mergeCell ref="U91:W91"/>
    <mergeCell ref="X91:Z91"/>
    <mergeCell ref="AA91:AC91"/>
    <mergeCell ref="AD91:AF91"/>
    <mergeCell ref="AG91:AI91"/>
    <mergeCell ref="AJ91:AL91"/>
    <mergeCell ref="AM91:AO91"/>
    <mergeCell ref="AP91:AR91"/>
    <mergeCell ref="AS91:AU91"/>
    <mergeCell ref="AV91:AX91"/>
    <mergeCell ref="AY91:BA91"/>
    <mergeCell ref="BB91:BD91"/>
    <mergeCell ref="I92:K92"/>
    <mergeCell ref="L92:N92"/>
    <mergeCell ref="O92:Q92"/>
    <mergeCell ref="R92:T92"/>
    <mergeCell ref="U92:W92"/>
    <mergeCell ref="X92:Z92"/>
    <mergeCell ref="AA92:AC92"/>
    <mergeCell ref="AD92:AF92"/>
    <mergeCell ref="AG92:AI92"/>
    <mergeCell ref="AJ92:AL92"/>
    <mergeCell ref="AM92:AO92"/>
    <mergeCell ref="AP92:AR92"/>
    <mergeCell ref="AS92:AU92"/>
    <mergeCell ref="AV92:AX92"/>
    <mergeCell ref="AY92:BA92"/>
    <mergeCell ref="CO89:CQ89"/>
    <mergeCell ref="CO82:CQ82"/>
    <mergeCell ref="CO84:CQ84"/>
    <mergeCell ref="CO85:CQ85"/>
    <mergeCell ref="CO86:CQ86"/>
    <mergeCell ref="CO87:CQ87"/>
    <mergeCell ref="CO69:CQ69"/>
    <mergeCell ref="CO71:CQ71"/>
    <mergeCell ref="CO79:CQ79"/>
    <mergeCell ref="CO80:CQ80"/>
    <mergeCell ref="CO81:CQ81"/>
    <mergeCell ref="CO59:CQ59"/>
    <mergeCell ref="CO62:CQ62"/>
    <mergeCell ref="CO64:CQ64"/>
    <mergeCell ref="CO67:CQ67"/>
    <mergeCell ref="CO68:CQ68"/>
    <mergeCell ref="CO53:CQ53"/>
    <mergeCell ref="CO54:CQ54"/>
    <mergeCell ref="CO55:CQ55"/>
    <mergeCell ref="CO56:CQ56"/>
    <mergeCell ref="CO58:CQ58"/>
    <mergeCell ref="CO76:CQ76"/>
    <mergeCell ref="CO45:CQ45"/>
    <mergeCell ref="CO46:CQ46"/>
    <mergeCell ref="CO48:CQ48"/>
    <mergeCell ref="CO50:CQ50"/>
    <mergeCell ref="CO51:CQ51"/>
    <mergeCell ref="CO39:CQ39"/>
    <mergeCell ref="CO40:CQ40"/>
    <mergeCell ref="CO41:CQ41"/>
    <mergeCell ref="CO42:CQ42"/>
    <mergeCell ref="CO43:CQ43"/>
    <mergeCell ref="CO33:CQ33"/>
    <mergeCell ref="CO34:CQ34"/>
    <mergeCell ref="CO35:CQ35"/>
    <mergeCell ref="CO36:CQ36"/>
    <mergeCell ref="CO38:CQ38"/>
    <mergeCell ref="CO30:CQ30"/>
    <mergeCell ref="CO31:CQ31"/>
    <mergeCell ref="CO32:CQ32"/>
    <mergeCell ref="CO47:CQ47"/>
    <mergeCell ref="CL89:CN89"/>
    <mergeCell ref="CO6:CQ6"/>
    <mergeCell ref="CO8:CQ8"/>
    <mergeCell ref="CO9:CQ9"/>
    <mergeCell ref="CO10:CQ10"/>
    <mergeCell ref="CO11:CQ11"/>
    <mergeCell ref="CO12:CQ12"/>
    <mergeCell ref="CO14:CQ14"/>
    <mergeCell ref="CO16:CQ16"/>
    <mergeCell ref="CO17:CQ17"/>
    <mergeCell ref="CO18:CQ18"/>
    <mergeCell ref="CO19:CQ19"/>
    <mergeCell ref="CO20:CQ20"/>
    <mergeCell ref="CO21:CQ21"/>
    <mergeCell ref="CO22:CQ22"/>
    <mergeCell ref="CL82:CN82"/>
    <mergeCell ref="CL84:CN84"/>
    <mergeCell ref="CL85:CN85"/>
    <mergeCell ref="CL86:CN86"/>
    <mergeCell ref="CL87:CN87"/>
    <mergeCell ref="CL69:CN69"/>
    <mergeCell ref="CL71:CN71"/>
    <mergeCell ref="CL79:CN79"/>
    <mergeCell ref="CL80:CN80"/>
    <mergeCell ref="CL81:CN81"/>
    <mergeCell ref="CL59:CN59"/>
    <mergeCell ref="CL62:CN62"/>
    <mergeCell ref="CL64:CN64"/>
    <mergeCell ref="CL67:CN67"/>
    <mergeCell ref="CL68:CN68"/>
    <mergeCell ref="CL53:CN53"/>
    <mergeCell ref="CL54:CN54"/>
    <mergeCell ref="CL55:CN55"/>
    <mergeCell ref="CL56:CN56"/>
    <mergeCell ref="CL58:CN58"/>
    <mergeCell ref="CL45:CN45"/>
    <mergeCell ref="CL46:CN46"/>
    <mergeCell ref="CL48:CN48"/>
    <mergeCell ref="CL50:CN50"/>
    <mergeCell ref="CL51:CN51"/>
    <mergeCell ref="CL39:CN39"/>
    <mergeCell ref="CL40:CN40"/>
    <mergeCell ref="CL41:CN41"/>
    <mergeCell ref="CL42:CN42"/>
    <mergeCell ref="CL43:CN43"/>
    <mergeCell ref="CL33:CN33"/>
    <mergeCell ref="CL34:CN34"/>
    <mergeCell ref="CL35:CN35"/>
    <mergeCell ref="CL36:CN36"/>
    <mergeCell ref="CL38:CN38"/>
    <mergeCell ref="CL47:CN47"/>
    <mergeCell ref="CL30:CN30"/>
    <mergeCell ref="CL31:CN31"/>
    <mergeCell ref="CL32:CN32"/>
    <mergeCell ref="CI89:CK89"/>
    <mergeCell ref="CL6:CN6"/>
    <mergeCell ref="CL8:CN8"/>
    <mergeCell ref="CL9:CN9"/>
    <mergeCell ref="CL10:CN10"/>
    <mergeCell ref="CL11:CN11"/>
    <mergeCell ref="CL12:CN12"/>
    <mergeCell ref="CL14:CN14"/>
    <mergeCell ref="CL16:CN16"/>
    <mergeCell ref="CL17:CN17"/>
    <mergeCell ref="CL18:CN18"/>
    <mergeCell ref="CL19:CN19"/>
    <mergeCell ref="CL20:CN20"/>
    <mergeCell ref="CL21:CN21"/>
    <mergeCell ref="CL22:CN22"/>
    <mergeCell ref="CI82:CK82"/>
    <mergeCell ref="CI84:CK84"/>
    <mergeCell ref="CI85:CK85"/>
    <mergeCell ref="CI86:CK86"/>
    <mergeCell ref="CI87:CK87"/>
    <mergeCell ref="CI69:CK69"/>
    <mergeCell ref="CI71:CK71"/>
    <mergeCell ref="CI79:CK79"/>
    <mergeCell ref="CI80:CK80"/>
    <mergeCell ref="CI81:CK81"/>
    <mergeCell ref="CI59:CK59"/>
    <mergeCell ref="CI62:CK62"/>
    <mergeCell ref="CI64:CK64"/>
    <mergeCell ref="CI67:CK67"/>
    <mergeCell ref="CI68:CK68"/>
    <mergeCell ref="CI53:CK53"/>
    <mergeCell ref="CI54:CK54"/>
    <mergeCell ref="CI55:CK55"/>
    <mergeCell ref="CI56:CK56"/>
    <mergeCell ref="CI58:CK58"/>
    <mergeCell ref="CI45:CK45"/>
    <mergeCell ref="CI46:CK46"/>
    <mergeCell ref="CI48:CK48"/>
    <mergeCell ref="CI50:CK50"/>
    <mergeCell ref="CI51:CK51"/>
    <mergeCell ref="CI39:CK39"/>
    <mergeCell ref="CI40:CK40"/>
    <mergeCell ref="CI41:CK41"/>
    <mergeCell ref="CI42:CK42"/>
    <mergeCell ref="CI43:CK43"/>
    <mergeCell ref="CI33:CK33"/>
    <mergeCell ref="CI34:CK34"/>
    <mergeCell ref="CI35:CK35"/>
    <mergeCell ref="CI36:CK36"/>
    <mergeCell ref="CI38:CK38"/>
    <mergeCell ref="CI47:CK47"/>
    <mergeCell ref="CI30:CK30"/>
    <mergeCell ref="CI31:CK31"/>
    <mergeCell ref="CI32:CK32"/>
    <mergeCell ref="CF89:CH89"/>
    <mergeCell ref="CI6:CK6"/>
    <mergeCell ref="CI8:CK8"/>
    <mergeCell ref="CI9:CK9"/>
    <mergeCell ref="CI10:CK10"/>
    <mergeCell ref="CI11:CK11"/>
    <mergeCell ref="CI12:CK12"/>
    <mergeCell ref="CI14:CK14"/>
    <mergeCell ref="CI16:CK16"/>
    <mergeCell ref="CI17:CK17"/>
    <mergeCell ref="CI18:CK18"/>
    <mergeCell ref="CI19:CK19"/>
    <mergeCell ref="CI20:CK20"/>
    <mergeCell ref="CI21:CK21"/>
    <mergeCell ref="CI22:CK22"/>
    <mergeCell ref="CF82:CH82"/>
    <mergeCell ref="CF84:CH84"/>
    <mergeCell ref="CF85:CH85"/>
    <mergeCell ref="CF86:CH86"/>
    <mergeCell ref="CF87:CH87"/>
    <mergeCell ref="CF69:CH69"/>
    <mergeCell ref="CF71:CH71"/>
    <mergeCell ref="CF79:CH79"/>
    <mergeCell ref="CF80:CH80"/>
    <mergeCell ref="CF81:CH81"/>
    <mergeCell ref="CF59:CH59"/>
    <mergeCell ref="CF62:CH62"/>
    <mergeCell ref="CF64:CH64"/>
    <mergeCell ref="CF67:CH67"/>
    <mergeCell ref="CF68:CH68"/>
    <mergeCell ref="CF53:CH53"/>
    <mergeCell ref="CF54:CH54"/>
    <mergeCell ref="CF55:CH55"/>
    <mergeCell ref="CF56:CH56"/>
    <mergeCell ref="CF58:CH58"/>
    <mergeCell ref="CF45:CH45"/>
    <mergeCell ref="CF46:CH46"/>
    <mergeCell ref="CF48:CH48"/>
    <mergeCell ref="CF50:CH50"/>
    <mergeCell ref="CF51:CH51"/>
    <mergeCell ref="CF39:CH39"/>
    <mergeCell ref="CF40:CH40"/>
    <mergeCell ref="CF41:CH41"/>
    <mergeCell ref="CF42:CH42"/>
    <mergeCell ref="CF43:CH43"/>
    <mergeCell ref="CF33:CH33"/>
    <mergeCell ref="CF34:CH34"/>
    <mergeCell ref="CF35:CH35"/>
    <mergeCell ref="CF36:CH36"/>
    <mergeCell ref="CF38:CH38"/>
    <mergeCell ref="CF30:CH30"/>
    <mergeCell ref="CF31:CH31"/>
    <mergeCell ref="CF32:CH32"/>
    <mergeCell ref="CC89:CE89"/>
    <mergeCell ref="CF6:CH6"/>
    <mergeCell ref="CF8:CH8"/>
    <mergeCell ref="CF9:CH9"/>
    <mergeCell ref="CF10:CH10"/>
    <mergeCell ref="CF11:CH11"/>
    <mergeCell ref="CF12:CH12"/>
    <mergeCell ref="CF14:CH14"/>
    <mergeCell ref="CF16:CH16"/>
    <mergeCell ref="CF17:CH17"/>
    <mergeCell ref="CF18:CH18"/>
    <mergeCell ref="CF19:CH19"/>
    <mergeCell ref="CF20:CH20"/>
    <mergeCell ref="CF21:CH21"/>
    <mergeCell ref="CF22:CH22"/>
    <mergeCell ref="CC82:CE82"/>
    <mergeCell ref="CC84:CE84"/>
    <mergeCell ref="CC85:CE85"/>
    <mergeCell ref="CC86:CE86"/>
    <mergeCell ref="CC87:CE87"/>
    <mergeCell ref="CC69:CE69"/>
    <mergeCell ref="CC71:CE71"/>
    <mergeCell ref="CC79:CE79"/>
    <mergeCell ref="CC80:CE80"/>
    <mergeCell ref="CC81:CE81"/>
    <mergeCell ref="CC59:CE59"/>
    <mergeCell ref="CC62:CE62"/>
    <mergeCell ref="CC64:CE64"/>
    <mergeCell ref="CC67:CE67"/>
    <mergeCell ref="CC68:CE68"/>
    <mergeCell ref="CC53:CE53"/>
    <mergeCell ref="CC54:CE54"/>
    <mergeCell ref="CC55:CE55"/>
    <mergeCell ref="CC56:CE56"/>
    <mergeCell ref="CC58:CE58"/>
    <mergeCell ref="CC45:CE45"/>
    <mergeCell ref="CC46:CE46"/>
    <mergeCell ref="CC48:CE48"/>
    <mergeCell ref="CC50:CE50"/>
    <mergeCell ref="CC51:CE51"/>
    <mergeCell ref="CC39:CE39"/>
    <mergeCell ref="CC40:CE40"/>
    <mergeCell ref="CC41:CE41"/>
    <mergeCell ref="CC42:CE42"/>
    <mergeCell ref="CC43:CE43"/>
    <mergeCell ref="CC33:CE33"/>
    <mergeCell ref="CC34:CE34"/>
    <mergeCell ref="CC35:CE35"/>
    <mergeCell ref="CC36:CE36"/>
    <mergeCell ref="CC38:CE38"/>
    <mergeCell ref="CC30:CE30"/>
    <mergeCell ref="CC31:CE31"/>
    <mergeCell ref="CC32:CE32"/>
    <mergeCell ref="CC28:CD28"/>
    <mergeCell ref="BZ89:CB89"/>
    <mergeCell ref="CC6:CE6"/>
    <mergeCell ref="CC8:CE8"/>
    <mergeCell ref="CC9:CE9"/>
    <mergeCell ref="CC10:CE10"/>
    <mergeCell ref="CC11:CE11"/>
    <mergeCell ref="CC12:CE12"/>
    <mergeCell ref="CC14:CE14"/>
    <mergeCell ref="CC16:CE16"/>
    <mergeCell ref="CC17:CE17"/>
    <mergeCell ref="CC18:CE18"/>
    <mergeCell ref="CC19:CE19"/>
    <mergeCell ref="CC20:CE20"/>
    <mergeCell ref="CC21:CE21"/>
    <mergeCell ref="CC22:CE22"/>
    <mergeCell ref="BZ82:CB82"/>
    <mergeCell ref="BZ84:CB84"/>
    <mergeCell ref="BZ85:CB85"/>
    <mergeCell ref="BZ86:CB86"/>
    <mergeCell ref="BZ87:CB87"/>
    <mergeCell ref="BZ69:CB69"/>
    <mergeCell ref="BZ71:CB71"/>
    <mergeCell ref="BZ79:CB79"/>
    <mergeCell ref="BZ80:CB80"/>
    <mergeCell ref="BZ81:CB81"/>
    <mergeCell ref="BZ59:CB59"/>
    <mergeCell ref="BZ62:CB62"/>
    <mergeCell ref="BZ64:CB64"/>
    <mergeCell ref="BZ67:CB67"/>
    <mergeCell ref="BZ68:CB68"/>
    <mergeCell ref="BZ53:CB53"/>
    <mergeCell ref="BZ54:CB54"/>
    <mergeCell ref="BZ55:CB55"/>
    <mergeCell ref="BZ56:CB56"/>
    <mergeCell ref="BZ58:CB58"/>
    <mergeCell ref="BZ45:CB45"/>
    <mergeCell ref="BZ46:CB46"/>
    <mergeCell ref="BZ48:CB48"/>
    <mergeCell ref="BZ50:CB50"/>
    <mergeCell ref="BZ51:CB51"/>
    <mergeCell ref="BZ39:CB39"/>
    <mergeCell ref="BZ40:CB40"/>
    <mergeCell ref="BZ41:CB41"/>
    <mergeCell ref="BZ42:CB42"/>
    <mergeCell ref="BZ43:CB43"/>
    <mergeCell ref="BZ33:CB33"/>
    <mergeCell ref="BZ34:CB34"/>
    <mergeCell ref="BZ35:CB35"/>
    <mergeCell ref="BZ36:CB36"/>
    <mergeCell ref="BZ38:CB38"/>
    <mergeCell ref="BZ30:CB30"/>
    <mergeCell ref="BZ31:CB31"/>
    <mergeCell ref="BZ32:CB32"/>
    <mergeCell ref="BZ19:CB19"/>
    <mergeCell ref="BZ20:CB20"/>
    <mergeCell ref="BZ21:CB21"/>
    <mergeCell ref="BZ22:CB22"/>
    <mergeCell ref="BZ12:CB12"/>
    <mergeCell ref="BZ14:CB14"/>
    <mergeCell ref="BZ16:CB16"/>
    <mergeCell ref="BZ17:CB17"/>
    <mergeCell ref="BZ18:CB18"/>
    <mergeCell ref="BZ6:CB6"/>
    <mergeCell ref="BZ8:CB8"/>
    <mergeCell ref="BZ9:CB9"/>
    <mergeCell ref="BZ10:CB10"/>
    <mergeCell ref="BZ11:CB11"/>
    <mergeCell ref="BZ23:CA23"/>
    <mergeCell ref="BZ28:CA28"/>
    <mergeCell ref="BQ87:BS87"/>
    <mergeCell ref="BT87:BV87"/>
    <mergeCell ref="BW87:BY87"/>
    <mergeCell ref="BQ89:BS89"/>
    <mergeCell ref="BT89:BV89"/>
    <mergeCell ref="BW89:BY89"/>
    <mergeCell ref="BQ85:BS85"/>
    <mergeCell ref="BT85:BV85"/>
    <mergeCell ref="BW85:BY85"/>
    <mergeCell ref="BQ86:BS86"/>
    <mergeCell ref="BT86:BV86"/>
    <mergeCell ref="BW86:BY86"/>
    <mergeCell ref="BQ82:BS82"/>
    <mergeCell ref="BT82:BV82"/>
    <mergeCell ref="BW82:BY82"/>
    <mergeCell ref="BQ84:BS84"/>
    <mergeCell ref="BT84:BV84"/>
    <mergeCell ref="BW84:BY84"/>
    <mergeCell ref="BQ80:BS80"/>
    <mergeCell ref="BT80:BV80"/>
    <mergeCell ref="BW80:BY80"/>
    <mergeCell ref="BQ81:BS81"/>
    <mergeCell ref="BT81:BV81"/>
    <mergeCell ref="BW81:BY81"/>
    <mergeCell ref="BQ71:BS71"/>
    <mergeCell ref="BT71:BV71"/>
    <mergeCell ref="BW71:BY71"/>
    <mergeCell ref="BQ79:BS79"/>
    <mergeCell ref="BT79:BV79"/>
    <mergeCell ref="BW79:BY79"/>
    <mergeCell ref="BQ68:BS68"/>
    <mergeCell ref="BT68:BV68"/>
    <mergeCell ref="BW68:BY68"/>
    <mergeCell ref="BQ69:BS69"/>
    <mergeCell ref="BT69:BV69"/>
    <mergeCell ref="BW69:BY69"/>
    <mergeCell ref="BQ64:BS64"/>
    <mergeCell ref="BT64:BV64"/>
    <mergeCell ref="BW64:BY64"/>
    <mergeCell ref="BQ67:BS67"/>
    <mergeCell ref="BT67:BV67"/>
    <mergeCell ref="BW67:BY67"/>
    <mergeCell ref="BQ59:BS59"/>
    <mergeCell ref="BT59:BV59"/>
    <mergeCell ref="BW59:BY59"/>
    <mergeCell ref="BQ62:BS62"/>
    <mergeCell ref="BT62:BV62"/>
    <mergeCell ref="BW62:BY62"/>
    <mergeCell ref="BQ56:BS56"/>
    <mergeCell ref="BT56:BV56"/>
    <mergeCell ref="BW56:BY56"/>
    <mergeCell ref="BQ58:BS58"/>
    <mergeCell ref="BT58:BV58"/>
    <mergeCell ref="BW58:BY58"/>
    <mergeCell ref="BQ54:BS54"/>
    <mergeCell ref="BT54:BV54"/>
    <mergeCell ref="BW54:BY54"/>
    <mergeCell ref="BQ55:BS55"/>
    <mergeCell ref="BT55:BV55"/>
    <mergeCell ref="BW55:BY55"/>
    <mergeCell ref="BQ51:BS51"/>
    <mergeCell ref="BT51:BV51"/>
    <mergeCell ref="BW51:BY51"/>
    <mergeCell ref="BQ53:BS53"/>
    <mergeCell ref="BT53:BV53"/>
    <mergeCell ref="BW53:BY53"/>
    <mergeCell ref="BQ48:BS48"/>
    <mergeCell ref="BT48:BV48"/>
    <mergeCell ref="BW48:BY48"/>
    <mergeCell ref="BQ50:BS50"/>
    <mergeCell ref="BT50:BV50"/>
    <mergeCell ref="BW50:BY50"/>
    <mergeCell ref="BQ45:BS45"/>
    <mergeCell ref="BT45:BV45"/>
    <mergeCell ref="BW45:BY45"/>
    <mergeCell ref="BQ46:BS46"/>
    <mergeCell ref="BT46:BV46"/>
    <mergeCell ref="BW46:BY46"/>
    <mergeCell ref="BQ42:BS42"/>
    <mergeCell ref="BT42:BV42"/>
    <mergeCell ref="BW42:BY42"/>
    <mergeCell ref="BQ43:BS43"/>
    <mergeCell ref="BT43:BV43"/>
    <mergeCell ref="BW43:BY43"/>
    <mergeCell ref="BQ40:BS40"/>
    <mergeCell ref="BT40:BV40"/>
    <mergeCell ref="BW40:BY40"/>
    <mergeCell ref="BQ41:BS41"/>
    <mergeCell ref="BT41:BV41"/>
    <mergeCell ref="BW41:BY41"/>
    <mergeCell ref="BQ38:BS38"/>
    <mergeCell ref="BT38:BV38"/>
    <mergeCell ref="BW38:BY38"/>
    <mergeCell ref="BQ39:BS39"/>
    <mergeCell ref="BT39:BV39"/>
    <mergeCell ref="BW39:BY39"/>
    <mergeCell ref="BQ35:BS35"/>
    <mergeCell ref="BT35:BV35"/>
    <mergeCell ref="BW35:BY35"/>
    <mergeCell ref="BQ36:BS36"/>
    <mergeCell ref="BT36:BV36"/>
    <mergeCell ref="BW36:BY36"/>
    <mergeCell ref="BQ33:BS33"/>
    <mergeCell ref="BT33:BV33"/>
    <mergeCell ref="BW33:BY33"/>
    <mergeCell ref="BQ34:BS34"/>
    <mergeCell ref="BT34:BV34"/>
    <mergeCell ref="BW34:BY34"/>
    <mergeCell ref="BQ31:BS31"/>
    <mergeCell ref="BT31:BV31"/>
    <mergeCell ref="BW31:BY31"/>
    <mergeCell ref="BQ32:BS32"/>
    <mergeCell ref="BT32:BV32"/>
    <mergeCell ref="BW32:BY32"/>
    <mergeCell ref="BQ30:BS30"/>
    <mergeCell ref="BT30:BV30"/>
    <mergeCell ref="BW30:BY30"/>
    <mergeCell ref="BQ23:BR23"/>
    <mergeCell ref="BT23:BU23"/>
    <mergeCell ref="BW23:BX23"/>
    <mergeCell ref="BQ21:BS21"/>
    <mergeCell ref="BT21:BV21"/>
    <mergeCell ref="BW21:BY21"/>
    <mergeCell ref="BQ22:BS22"/>
    <mergeCell ref="BT22:BV22"/>
    <mergeCell ref="BW22:BY22"/>
    <mergeCell ref="BQ19:BS19"/>
    <mergeCell ref="BT19:BV19"/>
    <mergeCell ref="BW19:BY19"/>
    <mergeCell ref="BQ20:BS20"/>
    <mergeCell ref="BT20:BV20"/>
    <mergeCell ref="BW20:BY20"/>
    <mergeCell ref="BW28:BX28"/>
    <mergeCell ref="BQ17:BS17"/>
    <mergeCell ref="BT17:BV17"/>
    <mergeCell ref="BW17:BY17"/>
    <mergeCell ref="BQ18:BS18"/>
    <mergeCell ref="BT18:BV18"/>
    <mergeCell ref="BW18:BY18"/>
    <mergeCell ref="BQ14:BS14"/>
    <mergeCell ref="BT14:BV14"/>
    <mergeCell ref="BW14:BY14"/>
    <mergeCell ref="BQ16:BS16"/>
    <mergeCell ref="BT16:BV16"/>
    <mergeCell ref="BW16:BY16"/>
    <mergeCell ref="BQ11:BS11"/>
    <mergeCell ref="BT11:BV11"/>
    <mergeCell ref="BW11:BY11"/>
    <mergeCell ref="BQ12:BS12"/>
    <mergeCell ref="BT12:BV12"/>
    <mergeCell ref="BW12:BY12"/>
    <mergeCell ref="BQ9:BS9"/>
    <mergeCell ref="BT9:BV9"/>
    <mergeCell ref="BW9:BY9"/>
    <mergeCell ref="BQ10:BS10"/>
    <mergeCell ref="BT10:BV10"/>
    <mergeCell ref="BW10:BY10"/>
    <mergeCell ref="BQ6:BS6"/>
    <mergeCell ref="BT6:BV6"/>
    <mergeCell ref="BW6:BY6"/>
    <mergeCell ref="BQ8:BS8"/>
    <mergeCell ref="BT8:BV8"/>
    <mergeCell ref="BW8:BY8"/>
    <mergeCell ref="BN87:BP87"/>
    <mergeCell ref="AJ89:AL89"/>
    <mergeCell ref="AM89:AO89"/>
    <mergeCell ref="AP89:AR89"/>
    <mergeCell ref="AS89:AU89"/>
    <mergeCell ref="AV89:AX89"/>
    <mergeCell ref="AY89:BA89"/>
    <mergeCell ref="BB89:BD89"/>
    <mergeCell ref="BE89:BG89"/>
    <mergeCell ref="BH89:BJ89"/>
    <mergeCell ref="BK89:BM89"/>
    <mergeCell ref="BN89:BP89"/>
    <mergeCell ref="AY87:BA87"/>
    <mergeCell ref="BB87:BD87"/>
    <mergeCell ref="BE87:BG87"/>
    <mergeCell ref="BH87:BJ87"/>
    <mergeCell ref="BK87:BM87"/>
    <mergeCell ref="AJ87:AL87"/>
    <mergeCell ref="AM87:AO87"/>
    <mergeCell ref="AP87:AR87"/>
    <mergeCell ref="AS87:AU87"/>
    <mergeCell ref="AV87:AX87"/>
    <mergeCell ref="BN85:BP85"/>
    <mergeCell ref="AJ86:AL86"/>
    <mergeCell ref="AM86:AO86"/>
    <mergeCell ref="AP86:AR86"/>
    <mergeCell ref="AS86:AU86"/>
    <mergeCell ref="AV86:AX86"/>
    <mergeCell ref="AY86:BA86"/>
    <mergeCell ref="BB86:BD86"/>
    <mergeCell ref="BE86:BG86"/>
    <mergeCell ref="BH86:BJ86"/>
    <mergeCell ref="BK86:BM86"/>
    <mergeCell ref="BN86:BP86"/>
    <mergeCell ref="AY85:BA85"/>
    <mergeCell ref="BB85:BD85"/>
    <mergeCell ref="BE85:BG85"/>
    <mergeCell ref="BH85:BJ85"/>
    <mergeCell ref="BK85:BM85"/>
    <mergeCell ref="AJ85:AL85"/>
    <mergeCell ref="AM85:AO85"/>
    <mergeCell ref="AP85:AR85"/>
    <mergeCell ref="AS85:AU85"/>
    <mergeCell ref="AV85:AX85"/>
    <mergeCell ref="BN82:BP82"/>
    <mergeCell ref="AJ84:AL84"/>
    <mergeCell ref="AM84:AO84"/>
    <mergeCell ref="AP84:AR84"/>
    <mergeCell ref="AS84:AU84"/>
    <mergeCell ref="AV84:AX84"/>
    <mergeCell ref="AY84:BA84"/>
    <mergeCell ref="BB84:BD84"/>
    <mergeCell ref="BE84:BG84"/>
    <mergeCell ref="BH84:BJ84"/>
    <mergeCell ref="BK84:BM84"/>
    <mergeCell ref="BN84:BP84"/>
    <mergeCell ref="AY82:BA82"/>
    <mergeCell ref="BB82:BD82"/>
    <mergeCell ref="BE82:BG82"/>
    <mergeCell ref="BH82:BJ82"/>
    <mergeCell ref="BK82:BM82"/>
    <mergeCell ref="AJ82:AL82"/>
    <mergeCell ref="AM82:AO82"/>
    <mergeCell ref="AP82:AR82"/>
    <mergeCell ref="AS82:AU82"/>
    <mergeCell ref="AV82:AX82"/>
    <mergeCell ref="BN80:BP80"/>
    <mergeCell ref="AJ81:AL81"/>
    <mergeCell ref="AM81:AO81"/>
    <mergeCell ref="AP81:AR81"/>
    <mergeCell ref="AS81:AU81"/>
    <mergeCell ref="AV81:AX81"/>
    <mergeCell ref="AY81:BA81"/>
    <mergeCell ref="BB81:BD81"/>
    <mergeCell ref="BE81:BG81"/>
    <mergeCell ref="BH81:BJ81"/>
    <mergeCell ref="BK81:BM81"/>
    <mergeCell ref="BN81:BP81"/>
    <mergeCell ref="AY80:BA80"/>
    <mergeCell ref="BB80:BD80"/>
    <mergeCell ref="BE80:BG80"/>
    <mergeCell ref="BH80:BJ80"/>
    <mergeCell ref="BK80:BM80"/>
    <mergeCell ref="AJ80:AL80"/>
    <mergeCell ref="AM80:AO80"/>
    <mergeCell ref="AP80:AR80"/>
    <mergeCell ref="AS80:AU80"/>
    <mergeCell ref="AV80:AX80"/>
    <mergeCell ref="BN71:BP71"/>
    <mergeCell ref="AJ79:AL79"/>
    <mergeCell ref="AM79:AO79"/>
    <mergeCell ref="AP79:AR79"/>
    <mergeCell ref="AS79:AU79"/>
    <mergeCell ref="AV79:AX79"/>
    <mergeCell ref="AY79:BA79"/>
    <mergeCell ref="BB79:BD79"/>
    <mergeCell ref="BE79:BG79"/>
    <mergeCell ref="BH79:BJ79"/>
    <mergeCell ref="BK79:BM79"/>
    <mergeCell ref="BN79:BP79"/>
    <mergeCell ref="AY71:BA71"/>
    <mergeCell ref="BB71:BD71"/>
    <mergeCell ref="BE71:BG71"/>
    <mergeCell ref="BH71:BJ71"/>
    <mergeCell ref="BK71:BM71"/>
    <mergeCell ref="AJ71:AL71"/>
    <mergeCell ref="AM71:AO71"/>
    <mergeCell ref="AP71:AR71"/>
    <mergeCell ref="AS71:AU71"/>
    <mergeCell ref="AV71:AX71"/>
    <mergeCell ref="AM76:AO76"/>
    <mergeCell ref="AJ76:AL76"/>
    <mergeCell ref="BN68:BP68"/>
    <mergeCell ref="AJ69:AL69"/>
    <mergeCell ref="AM69:AO69"/>
    <mergeCell ref="AP69:AR69"/>
    <mergeCell ref="AS69:AU69"/>
    <mergeCell ref="AV69:AX69"/>
    <mergeCell ref="AY69:BA69"/>
    <mergeCell ref="BB69:BD69"/>
    <mergeCell ref="BE69:BG69"/>
    <mergeCell ref="BH69:BJ69"/>
    <mergeCell ref="BK69:BM69"/>
    <mergeCell ref="BN69:BP69"/>
    <mergeCell ref="AY68:BA68"/>
    <mergeCell ref="BB68:BD68"/>
    <mergeCell ref="BE68:BG68"/>
    <mergeCell ref="BH68:BJ68"/>
    <mergeCell ref="BK68:BM68"/>
    <mergeCell ref="AJ68:AL68"/>
    <mergeCell ref="AM68:AO68"/>
    <mergeCell ref="AP68:AR68"/>
    <mergeCell ref="AS68:AU68"/>
    <mergeCell ref="AV68:AX68"/>
    <mergeCell ref="BN64:BP64"/>
    <mergeCell ref="AJ67:AL67"/>
    <mergeCell ref="AM67:AO67"/>
    <mergeCell ref="AP67:AR67"/>
    <mergeCell ref="AS67:AU67"/>
    <mergeCell ref="AV67:AX67"/>
    <mergeCell ref="AY67:BA67"/>
    <mergeCell ref="BB67:BD67"/>
    <mergeCell ref="BE67:BG67"/>
    <mergeCell ref="BH67:BJ67"/>
    <mergeCell ref="BK67:BM67"/>
    <mergeCell ref="BN67:BP67"/>
    <mergeCell ref="AY64:BA64"/>
    <mergeCell ref="BB64:BD64"/>
    <mergeCell ref="BE64:BG64"/>
    <mergeCell ref="BH64:BJ64"/>
    <mergeCell ref="BK64:BM64"/>
    <mergeCell ref="AJ64:AL64"/>
    <mergeCell ref="AM64:AO64"/>
    <mergeCell ref="AP64:AR64"/>
    <mergeCell ref="AS64:AU64"/>
    <mergeCell ref="AV64:AX64"/>
    <mergeCell ref="BN59:BP59"/>
    <mergeCell ref="AJ62:AL62"/>
    <mergeCell ref="AM62:AO62"/>
    <mergeCell ref="AP62:AR62"/>
    <mergeCell ref="AS62:AU62"/>
    <mergeCell ref="AV62:AX62"/>
    <mergeCell ref="AY62:BA62"/>
    <mergeCell ref="BB62:BD62"/>
    <mergeCell ref="BE62:BG62"/>
    <mergeCell ref="BH62:BJ62"/>
    <mergeCell ref="BK62:BM62"/>
    <mergeCell ref="BN62:BP62"/>
    <mergeCell ref="AY59:BA59"/>
    <mergeCell ref="BB59:BD59"/>
    <mergeCell ref="BE59:BG59"/>
    <mergeCell ref="BH59:BJ59"/>
    <mergeCell ref="BK59:BM59"/>
    <mergeCell ref="AJ59:AL59"/>
    <mergeCell ref="AM59:AO59"/>
    <mergeCell ref="AP59:AR59"/>
    <mergeCell ref="AS59:AU59"/>
    <mergeCell ref="AV59:AX59"/>
    <mergeCell ref="BN56:BP56"/>
    <mergeCell ref="AJ58:AL58"/>
    <mergeCell ref="AM58:AO58"/>
    <mergeCell ref="AP58:AR58"/>
    <mergeCell ref="AS58:AU58"/>
    <mergeCell ref="AV58:AX58"/>
    <mergeCell ref="AY58:BA58"/>
    <mergeCell ref="BB58:BD58"/>
    <mergeCell ref="BE58:BG58"/>
    <mergeCell ref="BH58:BJ58"/>
    <mergeCell ref="BK58:BM58"/>
    <mergeCell ref="BN58:BP58"/>
    <mergeCell ref="AY56:BA56"/>
    <mergeCell ref="BB56:BD56"/>
    <mergeCell ref="BE56:BG56"/>
    <mergeCell ref="BH56:BJ56"/>
    <mergeCell ref="BK56:BM56"/>
    <mergeCell ref="AJ56:AL56"/>
    <mergeCell ref="AM56:AO56"/>
    <mergeCell ref="AP56:AR56"/>
    <mergeCell ref="AS56:AU56"/>
    <mergeCell ref="AV56:AX56"/>
    <mergeCell ref="BN54:BP54"/>
    <mergeCell ref="AJ55:AL55"/>
    <mergeCell ref="AM55:AO55"/>
    <mergeCell ref="AP55:AR55"/>
    <mergeCell ref="AS55:AU55"/>
    <mergeCell ref="AV55:AX55"/>
    <mergeCell ref="AY55:BA55"/>
    <mergeCell ref="BB55:BD55"/>
    <mergeCell ref="BE55:BG55"/>
    <mergeCell ref="BH55:BJ55"/>
    <mergeCell ref="BK55:BM55"/>
    <mergeCell ref="BN55:BP55"/>
    <mergeCell ref="AY54:BA54"/>
    <mergeCell ref="BB54:BD54"/>
    <mergeCell ref="BE54:BG54"/>
    <mergeCell ref="BH54:BJ54"/>
    <mergeCell ref="BK54:BM54"/>
    <mergeCell ref="AJ54:AL54"/>
    <mergeCell ref="AM54:AO54"/>
    <mergeCell ref="AP54:AR54"/>
    <mergeCell ref="AS54:AU54"/>
    <mergeCell ref="AV54:AX54"/>
    <mergeCell ref="BN51:BP51"/>
    <mergeCell ref="AJ53:AL53"/>
    <mergeCell ref="AM53:AO53"/>
    <mergeCell ref="AP53:AR53"/>
    <mergeCell ref="AS53:AU53"/>
    <mergeCell ref="AV53:AX53"/>
    <mergeCell ref="AY53:BA53"/>
    <mergeCell ref="BB53:BD53"/>
    <mergeCell ref="BE53:BG53"/>
    <mergeCell ref="BH53:BJ53"/>
    <mergeCell ref="BK53:BM53"/>
    <mergeCell ref="BN53:BP53"/>
    <mergeCell ref="AY51:BA51"/>
    <mergeCell ref="BB51:BD51"/>
    <mergeCell ref="BE51:BG51"/>
    <mergeCell ref="BH51:BJ51"/>
    <mergeCell ref="BK51:BM51"/>
    <mergeCell ref="AJ51:AL51"/>
    <mergeCell ref="AM51:AO51"/>
    <mergeCell ref="AP51:AR51"/>
    <mergeCell ref="AS51:AU51"/>
    <mergeCell ref="AV51:AX51"/>
    <mergeCell ref="BN48:BP48"/>
    <mergeCell ref="AJ50:AL50"/>
    <mergeCell ref="AM50:AO50"/>
    <mergeCell ref="AP50:AR50"/>
    <mergeCell ref="AS50:AU50"/>
    <mergeCell ref="AV50:AX50"/>
    <mergeCell ref="AY50:BA50"/>
    <mergeCell ref="BB50:BD50"/>
    <mergeCell ref="BE50:BG50"/>
    <mergeCell ref="BH50:BJ50"/>
    <mergeCell ref="BK50:BM50"/>
    <mergeCell ref="BN50:BP50"/>
    <mergeCell ref="AY48:BA48"/>
    <mergeCell ref="BB48:BD48"/>
    <mergeCell ref="BE48:BG48"/>
    <mergeCell ref="BH48:BJ48"/>
    <mergeCell ref="BK48:BM48"/>
    <mergeCell ref="AJ48:AL48"/>
    <mergeCell ref="AM48:AO48"/>
    <mergeCell ref="AP48:AR48"/>
    <mergeCell ref="AS48:AU48"/>
    <mergeCell ref="AV48:AX48"/>
    <mergeCell ref="BN45:BP45"/>
    <mergeCell ref="AJ46:AL46"/>
    <mergeCell ref="AM46:AO46"/>
    <mergeCell ref="AP46:AR46"/>
    <mergeCell ref="AS46:AU46"/>
    <mergeCell ref="AV46:AX46"/>
    <mergeCell ref="AY46:BA46"/>
    <mergeCell ref="BB46:BD46"/>
    <mergeCell ref="BE46:BG46"/>
    <mergeCell ref="BH46:BJ46"/>
    <mergeCell ref="BK46:BM46"/>
    <mergeCell ref="BN46:BP46"/>
    <mergeCell ref="AY45:BA45"/>
    <mergeCell ref="BB45:BD45"/>
    <mergeCell ref="BE45:BG45"/>
    <mergeCell ref="BH45:BJ45"/>
    <mergeCell ref="BK45:BM45"/>
    <mergeCell ref="AJ45:AL45"/>
    <mergeCell ref="AM45:AO45"/>
    <mergeCell ref="AP45:AR45"/>
    <mergeCell ref="AS45:AU45"/>
    <mergeCell ref="AV45:AX45"/>
    <mergeCell ref="BN42:BP42"/>
    <mergeCell ref="AJ43:AL43"/>
    <mergeCell ref="AM43:AO43"/>
    <mergeCell ref="AP43:AR43"/>
    <mergeCell ref="AS43:AU43"/>
    <mergeCell ref="AV43:AX43"/>
    <mergeCell ref="AY43:BA43"/>
    <mergeCell ref="BB43:BD43"/>
    <mergeCell ref="BE43:BG43"/>
    <mergeCell ref="BH43:BJ43"/>
    <mergeCell ref="BK43:BM43"/>
    <mergeCell ref="BN43:BP43"/>
    <mergeCell ref="AY42:BA42"/>
    <mergeCell ref="BB42:BD42"/>
    <mergeCell ref="BE42:BG42"/>
    <mergeCell ref="BH42:BJ42"/>
    <mergeCell ref="BK42:BM42"/>
    <mergeCell ref="AJ42:AL42"/>
    <mergeCell ref="AM42:AO42"/>
    <mergeCell ref="AP42:AR42"/>
    <mergeCell ref="AS42:AU42"/>
    <mergeCell ref="AV42:AX42"/>
    <mergeCell ref="BN40:BP40"/>
    <mergeCell ref="AJ41:AL41"/>
    <mergeCell ref="AM41:AO41"/>
    <mergeCell ref="AP41:AR41"/>
    <mergeCell ref="AS41:AU41"/>
    <mergeCell ref="AV41:AX41"/>
    <mergeCell ref="AY41:BA41"/>
    <mergeCell ref="BB41:BD41"/>
    <mergeCell ref="BE41:BG41"/>
    <mergeCell ref="BH41:BJ41"/>
    <mergeCell ref="BK41:BM41"/>
    <mergeCell ref="BN41:BP41"/>
    <mergeCell ref="AY40:BA40"/>
    <mergeCell ref="BB40:BD40"/>
    <mergeCell ref="BE40:BG40"/>
    <mergeCell ref="BH40:BJ40"/>
    <mergeCell ref="BK40:BM40"/>
    <mergeCell ref="AJ40:AL40"/>
    <mergeCell ref="AM40:AO40"/>
    <mergeCell ref="AP40:AR40"/>
    <mergeCell ref="AS40:AU40"/>
    <mergeCell ref="AV40:AX40"/>
    <mergeCell ref="BN38:BP38"/>
    <mergeCell ref="AJ39:AL39"/>
    <mergeCell ref="AM39:AO39"/>
    <mergeCell ref="AP39:AR39"/>
    <mergeCell ref="AS39:AU39"/>
    <mergeCell ref="AV39:AX39"/>
    <mergeCell ref="AY39:BA39"/>
    <mergeCell ref="BB39:BD39"/>
    <mergeCell ref="BE39:BG39"/>
    <mergeCell ref="BH39:BJ39"/>
    <mergeCell ref="BK39:BM39"/>
    <mergeCell ref="BN39:BP39"/>
    <mergeCell ref="AY38:BA38"/>
    <mergeCell ref="BB38:BD38"/>
    <mergeCell ref="BE38:BG38"/>
    <mergeCell ref="BH38:BJ38"/>
    <mergeCell ref="BK38:BM38"/>
    <mergeCell ref="AJ38:AL38"/>
    <mergeCell ref="AM38:AO38"/>
    <mergeCell ref="AP38:AR38"/>
    <mergeCell ref="AS38:AU38"/>
    <mergeCell ref="AV38:AX38"/>
    <mergeCell ref="BN35:BP35"/>
    <mergeCell ref="AJ36:AL36"/>
    <mergeCell ref="AM36:AO36"/>
    <mergeCell ref="AP36:AR36"/>
    <mergeCell ref="AS36:AU36"/>
    <mergeCell ref="AV36:AX36"/>
    <mergeCell ref="AY36:BA36"/>
    <mergeCell ref="BB36:BD36"/>
    <mergeCell ref="BE36:BG36"/>
    <mergeCell ref="BH36:BJ36"/>
    <mergeCell ref="BK36:BM36"/>
    <mergeCell ref="BN36:BP36"/>
    <mergeCell ref="AY35:BA35"/>
    <mergeCell ref="BB35:BD35"/>
    <mergeCell ref="BE35:BG35"/>
    <mergeCell ref="BH35:BJ35"/>
    <mergeCell ref="BK35:BM35"/>
    <mergeCell ref="AJ35:AL35"/>
    <mergeCell ref="AM35:AO35"/>
    <mergeCell ref="AP35:AR35"/>
    <mergeCell ref="AS35:AU35"/>
    <mergeCell ref="AV35:AX35"/>
    <mergeCell ref="BN33:BP33"/>
    <mergeCell ref="AJ34:AL34"/>
    <mergeCell ref="AM34:AO34"/>
    <mergeCell ref="AP34:AR34"/>
    <mergeCell ref="AS34:AU34"/>
    <mergeCell ref="AV34:AX34"/>
    <mergeCell ref="AY34:BA34"/>
    <mergeCell ref="BB34:BD34"/>
    <mergeCell ref="BE34:BG34"/>
    <mergeCell ref="BH34:BJ34"/>
    <mergeCell ref="BK34:BM34"/>
    <mergeCell ref="BN34:BP34"/>
    <mergeCell ref="AY33:BA33"/>
    <mergeCell ref="BB33:BD33"/>
    <mergeCell ref="BE33:BG33"/>
    <mergeCell ref="BH33:BJ33"/>
    <mergeCell ref="BK33:BM33"/>
    <mergeCell ref="AJ33:AL33"/>
    <mergeCell ref="AM33:AO33"/>
    <mergeCell ref="AP33:AR33"/>
    <mergeCell ref="AS33:AU33"/>
    <mergeCell ref="AV33:AX33"/>
    <mergeCell ref="BN31:BP31"/>
    <mergeCell ref="AJ32:AL32"/>
    <mergeCell ref="AM32:AO32"/>
    <mergeCell ref="AP32:AR32"/>
    <mergeCell ref="AS32:AU32"/>
    <mergeCell ref="AV32:AX32"/>
    <mergeCell ref="AY32:BA32"/>
    <mergeCell ref="BB32:BD32"/>
    <mergeCell ref="BE32:BG32"/>
    <mergeCell ref="BH32:BJ32"/>
    <mergeCell ref="BK32:BM32"/>
    <mergeCell ref="BN32:BP32"/>
    <mergeCell ref="AY31:BA31"/>
    <mergeCell ref="BB31:BD31"/>
    <mergeCell ref="BE31:BG31"/>
    <mergeCell ref="BH31:BJ31"/>
    <mergeCell ref="BK31:BM31"/>
    <mergeCell ref="AJ31:AL31"/>
    <mergeCell ref="AM31:AO31"/>
    <mergeCell ref="AP31:AR31"/>
    <mergeCell ref="AS31:AU31"/>
    <mergeCell ref="AV31:AX31"/>
    <mergeCell ref="AJ30:AL30"/>
    <mergeCell ref="AM30:AO30"/>
    <mergeCell ref="AP30:AR30"/>
    <mergeCell ref="AS30:AU30"/>
    <mergeCell ref="AV30:AX30"/>
    <mergeCell ref="AY30:BA30"/>
    <mergeCell ref="BB30:BD30"/>
    <mergeCell ref="BE30:BG30"/>
    <mergeCell ref="BH30:BJ30"/>
    <mergeCell ref="BK30:BM30"/>
    <mergeCell ref="BN30:BP30"/>
    <mergeCell ref="BB23:BC23"/>
    <mergeCell ref="BE23:BF23"/>
    <mergeCell ref="BH23:BI23"/>
    <mergeCell ref="BK23:BL23"/>
    <mergeCell ref="BN23:BO23"/>
    <mergeCell ref="BN21:BP21"/>
    <mergeCell ref="AJ22:AL22"/>
    <mergeCell ref="AM22:AO22"/>
    <mergeCell ref="AP22:AR22"/>
    <mergeCell ref="AS22:AU22"/>
    <mergeCell ref="AV22:AX22"/>
    <mergeCell ref="AY22:BA22"/>
    <mergeCell ref="BB22:BD22"/>
    <mergeCell ref="BE22:BG22"/>
    <mergeCell ref="BH22:BJ22"/>
    <mergeCell ref="BK22:BM22"/>
    <mergeCell ref="BN22:BP22"/>
    <mergeCell ref="AY21:BA21"/>
    <mergeCell ref="BB21:BD21"/>
    <mergeCell ref="BE21:BG21"/>
    <mergeCell ref="BH21:BJ21"/>
    <mergeCell ref="BK21:BM21"/>
    <mergeCell ref="AJ21:AL21"/>
    <mergeCell ref="AM21:AO21"/>
    <mergeCell ref="AP21:AR21"/>
    <mergeCell ref="AS21:AU21"/>
    <mergeCell ref="AV21:AX21"/>
    <mergeCell ref="BN19:BP19"/>
    <mergeCell ref="AJ20:AL20"/>
    <mergeCell ref="AM20:AO20"/>
    <mergeCell ref="AP20:AR20"/>
    <mergeCell ref="AS20:AU20"/>
    <mergeCell ref="AV20:AX20"/>
    <mergeCell ref="AY20:BA20"/>
    <mergeCell ref="BB20:BD20"/>
    <mergeCell ref="BE20:BG20"/>
    <mergeCell ref="BH20:BJ20"/>
    <mergeCell ref="BK20:BM20"/>
    <mergeCell ref="BN20:BP20"/>
    <mergeCell ref="AY19:BA19"/>
    <mergeCell ref="BB19:BD19"/>
    <mergeCell ref="BE19:BG19"/>
    <mergeCell ref="BH19:BJ19"/>
    <mergeCell ref="BK19:BM19"/>
    <mergeCell ref="AJ19:AL19"/>
    <mergeCell ref="AM19:AO19"/>
    <mergeCell ref="AP19:AR19"/>
    <mergeCell ref="AS19:AU19"/>
    <mergeCell ref="AV19:AX19"/>
    <mergeCell ref="BN17:BP17"/>
    <mergeCell ref="AJ18:AL18"/>
    <mergeCell ref="AM18:AO18"/>
    <mergeCell ref="AP18:AR18"/>
    <mergeCell ref="AS18:AU18"/>
    <mergeCell ref="AV18:AX18"/>
    <mergeCell ref="AY18:BA18"/>
    <mergeCell ref="BB18:BD18"/>
    <mergeCell ref="BE18:BG18"/>
    <mergeCell ref="BH18:BJ18"/>
    <mergeCell ref="BK18:BM18"/>
    <mergeCell ref="BN18:BP18"/>
    <mergeCell ref="AY17:BA17"/>
    <mergeCell ref="BB17:BD17"/>
    <mergeCell ref="BE17:BG17"/>
    <mergeCell ref="BH17:BJ17"/>
    <mergeCell ref="BK17:BM17"/>
    <mergeCell ref="AJ17:AL17"/>
    <mergeCell ref="AM17:AO17"/>
    <mergeCell ref="AP17:AR17"/>
    <mergeCell ref="AS17:AU17"/>
    <mergeCell ref="AV17:AX17"/>
    <mergeCell ref="BN14:BP14"/>
    <mergeCell ref="AJ16:AL16"/>
    <mergeCell ref="AM16:AO16"/>
    <mergeCell ref="AP16:AR16"/>
    <mergeCell ref="AS16:AU16"/>
    <mergeCell ref="AV16:AX16"/>
    <mergeCell ref="AY16:BA16"/>
    <mergeCell ref="BB16:BD16"/>
    <mergeCell ref="BE16:BG16"/>
    <mergeCell ref="BH16:BJ16"/>
    <mergeCell ref="BK16:BM16"/>
    <mergeCell ref="BN16:BP16"/>
    <mergeCell ref="AY14:BA14"/>
    <mergeCell ref="BB14:BD14"/>
    <mergeCell ref="BE14:BG14"/>
    <mergeCell ref="BH14:BJ14"/>
    <mergeCell ref="BK14:BM14"/>
    <mergeCell ref="AJ14:AL14"/>
    <mergeCell ref="AM14:AO14"/>
    <mergeCell ref="AP14:AR14"/>
    <mergeCell ref="AS14:AU14"/>
    <mergeCell ref="AV14:AX14"/>
    <mergeCell ref="BN11:BP11"/>
    <mergeCell ref="AJ12:AL12"/>
    <mergeCell ref="AM12:AO12"/>
    <mergeCell ref="AP12:AR12"/>
    <mergeCell ref="AS12:AU12"/>
    <mergeCell ref="AV12:AX12"/>
    <mergeCell ref="AY12:BA12"/>
    <mergeCell ref="BB12:BD12"/>
    <mergeCell ref="BE12:BG12"/>
    <mergeCell ref="BH12:BJ12"/>
    <mergeCell ref="BK12:BM12"/>
    <mergeCell ref="BN12:BP12"/>
    <mergeCell ref="AY11:BA11"/>
    <mergeCell ref="BB11:BD11"/>
    <mergeCell ref="BE11:BG11"/>
    <mergeCell ref="BH11:BJ11"/>
    <mergeCell ref="BK11:BM11"/>
    <mergeCell ref="AJ11:AL11"/>
    <mergeCell ref="AM11:AO11"/>
    <mergeCell ref="AP11:AR11"/>
    <mergeCell ref="AS11:AU11"/>
    <mergeCell ref="AV11:AX11"/>
    <mergeCell ref="BN9:BP9"/>
    <mergeCell ref="AJ10:AL10"/>
    <mergeCell ref="AM10:AO10"/>
    <mergeCell ref="AP10:AR10"/>
    <mergeCell ref="AS10:AU10"/>
    <mergeCell ref="AV10:AX10"/>
    <mergeCell ref="AY10:BA10"/>
    <mergeCell ref="BB10:BD10"/>
    <mergeCell ref="BE10:BG10"/>
    <mergeCell ref="BH10:BJ10"/>
    <mergeCell ref="BK10:BM10"/>
    <mergeCell ref="BN10:BP10"/>
    <mergeCell ref="AY9:BA9"/>
    <mergeCell ref="BB9:BD9"/>
    <mergeCell ref="BE9:BG9"/>
    <mergeCell ref="BH9:BJ9"/>
    <mergeCell ref="BK9:BM9"/>
    <mergeCell ref="AJ9:AL9"/>
    <mergeCell ref="AM9:AO9"/>
    <mergeCell ref="AP9:AR9"/>
    <mergeCell ref="AS9:AU9"/>
    <mergeCell ref="AV9:AX9"/>
    <mergeCell ref="BN6:BP6"/>
    <mergeCell ref="AJ8:AL8"/>
    <mergeCell ref="AM8:AO8"/>
    <mergeCell ref="AP8:AR8"/>
    <mergeCell ref="AS8:AU8"/>
    <mergeCell ref="AV8:AX8"/>
    <mergeCell ref="AY8:BA8"/>
    <mergeCell ref="BB8:BD8"/>
    <mergeCell ref="BE8:BG8"/>
    <mergeCell ref="BH8:BJ8"/>
    <mergeCell ref="BK8:BM8"/>
    <mergeCell ref="BN8:BP8"/>
    <mergeCell ref="AY6:BA6"/>
    <mergeCell ref="BB6:BD6"/>
    <mergeCell ref="BE6:BG6"/>
    <mergeCell ref="BH6:BJ6"/>
    <mergeCell ref="BK6:BM6"/>
    <mergeCell ref="AJ6:AL6"/>
    <mergeCell ref="AM6:AO6"/>
    <mergeCell ref="AP6:AR6"/>
    <mergeCell ref="AS6:AU6"/>
    <mergeCell ref="AV6:AX6"/>
    <mergeCell ref="AJ7:AL7"/>
    <mergeCell ref="AM7:AO7"/>
    <mergeCell ref="AP7:AR7"/>
    <mergeCell ref="AS7:AU7"/>
    <mergeCell ref="AV7:AX7"/>
    <mergeCell ref="AY7:BA7"/>
    <mergeCell ref="BB7:BD7"/>
    <mergeCell ref="BE7:BG7"/>
    <mergeCell ref="BH7:BJ7"/>
    <mergeCell ref="BK7:BM7"/>
    <mergeCell ref="X87:Z87"/>
    <mergeCell ref="AA87:AC87"/>
    <mergeCell ref="AD87:AF87"/>
    <mergeCell ref="I89:K89"/>
    <mergeCell ref="L89:N89"/>
    <mergeCell ref="O89:Q89"/>
    <mergeCell ref="R89:T89"/>
    <mergeCell ref="U89:W89"/>
    <mergeCell ref="X89:Z89"/>
    <mergeCell ref="AA89:AC89"/>
    <mergeCell ref="AD89:AF89"/>
    <mergeCell ref="AG87:AI87"/>
    <mergeCell ref="AG89:AI89"/>
    <mergeCell ref="I87:K87"/>
    <mergeCell ref="L87:N87"/>
    <mergeCell ref="O87:Q87"/>
    <mergeCell ref="R87:T87"/>
    <mergeCell ref="U87:W87"/>
    <mergeCell ref="X85:Z85"/>
    <mergeCell ref="AA85:AC85"/>
    <mergeCell ref="AD85:AF85"/>
    <mergeCell ref="I86:K86"/>
    <mergeCell ref="L86:N86"/>
    <mergeCell ref="O86:Q86"/>
    <mergeCell ref="R86:T86"/>
    <mergeCell ref="U86:W86"/>
    <mergeCell ref="X86:Z86"/>
    <mergeCell ref="AA86:AC86"/>
    <mergeCell ref="AD86:AF86"/>
    <mergeCell ref="AG85:AI85"/>
    <mergeCell ref="AG86:AI86"/>
    <mergeCell ref="I85:K85"/>
    <mergeCell ref="L85:N85"/>
    <mergeCell ref="O85:Q85"/>
    <mergeCell ref="R85:T85"/>
    <mergeCell ref="U85:W85"/>
    <mergeCell ref="X82:Z82"/>
    <mergeCell ref="AA82:AC82"/>
    <mergeCell ref="AD82:AF82"/>
    <mergeCell ref="I84:K84"/>
    <mergeCell ref="L84:N84"/>
    <mergeCell ref="O84:Q84"/>
    <mergeCell ref="R84:T84"/>
    <mergeCell ref="U84:W84"/>
    <mergeCell ref="X84:Z84"/>
    <mergeCell ref="AA84:AC84"/>
    <mergeCell ref="AD84:AF84"/>
    <mergeCell ref="AG82:AI82"/>
    <mergeCell ref="AG84:AI84"/>
    <mergeCell ref="I82:K82"/>
    <mergeCell ref="L82:N82"/>
    <mergeCell ref="O82:Q82"/>
    <mergeCell ref="R82:T82"/>
    <mergeCell ref="U82:W82"/>
    <mergeCell ref="X80:Z80"/>
    <mergeCell ref="AA80:AC80"/>
    <mergeCell ref="AD80:AF80"/>
    <mergeCell ref="I81:K81"/>
    <mergeCell ref="L81:N81"/>
    <mergeCell ref="O81:Q81"/>
    <mergeCell ref="R81:T81"/>
    <mergeCell ref="U81:W81"/>
    <mergeCell ref="X81:Z81"/>
    <mergeCell ref="AA81:AC81"/>
    <mergeCell ref="AD81:AF81"/>
    <mergeCell ref="AG80:AI80"/>
    <mergeCell ref="AG81:AI81"/>
    <mergeCell ref="I80:K80"/>
    <mergeCell ref="L80:N80"/>
    <mergeCell ref="O80:Q80"/>
    <mergeCell ref="R80:T80"/>
    <mergeCell ref="U80:W80"/>
    <mergeCell ref="X71:Z71"/>
    <mergeCell ref="AA71:AC71"/>
    <mergeCell ref="AD71:AF71"/>
    <mergeCell ref="I79:K79"/>
    <mergeCell ref="L79:N79"/>
    <mergeCell ref="O79:Q79"/>
    <mergeCell ref="R79:T79"/>
    <mergeCell ref="U79:W79"/>
    <mergeCell ref="X79:Z79"/>
    <mergeCell ref="AA79:AC79"/>
    <mergeCell ref="AD79:AF79"/>
    <mergeCell ref="AG71:AI71"/>
    <mergeCell ref="AG79:AI79"/>
    <mergeCell ref="I71:K71"/>
    <mergeCell ref="L71:N71"/>
    <mergeCell ref="O71:Q71"/>
    <mergeCell ref="R71:T71"/>
    <mergeCell ref="U71:W71"/>
    <mergeCell ref="AG76:AI76"/>
    <mergeCell ref="AD76:AF76"/>
    <mergeCell ref="AA76:AC76"/>
    <mergeCell ref="X76:Z76"/>
    <mergeCell ref="U76:W76"/>
    <mergeCell ref="R76:T76"/>
    <mergeCell ref="O76:Q76"/>
    <mergeCell ref="L76:N76"/>
    <mergeCell ref="I76:K76"/>
    <mergeCell ref="X68:Z68"/>
    <mergeCell ref="AA68:AC68"/>
    <mergeCell ref="AD68:AF68"/>
    <mergeCell ref="I69:K69"/>
    <mergeCell ref="L69:N69"/>
    <mergeCell ref="O69:Q69"/>
    <mergeCell ref="R69:T69"/>
    <mergeCell ref="U69:W69"/>
    <mergeCell ref="X69:Z69"/>
    <mergeCell ref="AA69:AC69"/>
    <mergeCell ref="AD69:AF69"/>
    <mergeCell ref="AG68:AI68"/>
    <mergeCell ref="AG69:AI69"/>
    <mergeCell ref="I68:K68"/>
    <mergeCell ref="L68:N68"/>
    <mergeCell ref="O68:Q68"/>
    <mergeCell ref="R68:T68"/>
    <mergeCell ref="U68:W68"/>
    <mergeCell ref="X64:Z64"/>
    <mergeCell ref="AA64:AC64"/>
    <mergeCell ref="AD64:AF64"/>
    <mergeCell ref="I67:K67"/>
    <mergeCell ref="L67:N67"/>
    <mergeCell ref="O67:Q67"/>
    <mergeCell ref="R67:T67"/>
    <mergeCell ref="U67:W67"/>
    <mergeCell ref="X67:Z67"/>
    <mergeCell ref="AA67:AC67"/>
    <mergeCell ref="AD67:AF67"/>
    <mergeCell ref="AG64:AI64"/>
    <mergeCell ref="AG67:AI67"/>
    <mergeCell ref="I64:K64"/>
    <mergeCell ref="L64:N64"/>
    <mergeCell ref="O64:Q64"/>
    <mergeCell ref="R64:T64"/>
    <mergeCell ref="U64:W64"/>
    <mergeCell ref="X59:Z59"/>
    <mergeCell ref="AA59:AC59"/>
    <mergeCell ref="AD59:AF59"/>
    <mergeCell ref="I62:K62"/>
    <mergeCell ref="L62:N62"/>
    <mergeCell ref="O62:Q62"/>
    <mergeCell ref="R62:T62"/>
    <mergeCell ref="U62:W62"/>
    <mergeCell ref="X62:Z62"/>
    <mergeCell ref="AA62:AC62"/>
    <mergeCell ref="AD62:AF62"/>
    <mergeCell ref="AG59:AI59"/>
    <mergeCell ref="AG62:AI62"/>
    <mergeCell ref="I59:K59"/>
    <mergeCell ref="L59:N59"/>
    <mergeCell ref="O59:Q59"/>
    <mergeCell ref="R59:T59"/>
    <mergeCell ref="U59:W59"/>
    <mergeCell ref="X56:Z56"/>
    <mergeCell ref="AA56:AC56"/>
    <mergeCell ref="AD56:AF56"/>
    <mergeCell ref="I58:K58"/>
    <mergeCell ref="L58:N58"/>
    <mergeCell ref="O58:Q58"/>
    <mergeCell ref="R58:T58"/>
    <mergeCell ref="U58:W58"/>
    <mergeCell ref="X58:Z58"/>
    <mergeCell ref="AA58:AC58"/>
    <mergeCell ref="AD58:AF58"/>
    <mergeCell ref="AG56:AI56"/>
    <mergeCell ref="AG58:AI58"/>
    <mergeCell ref="I56:K56"/>
    <mergeCell ref="L56:N56"/>
    <mergeCell ref="O56:Q56"/>
    <mergeCell ref="R56:T56"/>
    <mergeCell ref="U56:W56"/>
    <mergeCell ref="X54:Z54"/>
    <mergeCell ref="AA54:AC54"/>
    <mergeCell ref="AD54:AF54"/>
    <mergeCell ref="I55:K55"/>
    <mergeCell ref="L55:N55"/>
    <mergeCell ref="O55:Q55"/>
    <mergeCell ref="R55:T55"/>
    <mergeCell ref="U55:W55"/>
    <mergeCell ref="X55:Z55"/>
    <mergeCell ref="AA55:AC55"/>
    <mergeCell ref="AD55:AF55"/>
    <mergeCell ref="AG54:AI54"/>
    <mergeCell ref="AG55:AI55"/>
    <mergeCell ref="I54:K54"/>
    <mergeCell ref="L54:N54"/>
    <mergeCell ref="O54:Q54"/>
    <mergeCell ref="R54:T54"/>
    <mergeCell ref="U54:W54"/>
    <mergeCell ref="X51:Z51"/>
    <mergeCell ref="AA51:AC51"/>
    <mergeCell ref="AD51:AF51"/>
    <mergeCell ref="I53:K53"/>
    <mergeCell ref="L53:N53"/>
    <mergeCell ref="O53:Q53"/>
    <mergeCell ref="R53:T53"/>
    <mergeCell ref="U53:W53"/>
    <mergeCell ref="X53:Z53"/>
    <mergeCell ref="AA53:AC53"/>
    <mergeCell ref="AD53:AF53"/>
    <mergeCell ref="AG51:AI51"/>
    <mergeCell ref="AG53:AI53"/>
    <mergeCell ref="I51:K51"/>
    <mergeCell ref="L51:N51"/>
    <mergeCell ref="O51:Q51"/>
    <mergeCell ref="R51:T51"/>
    <mergeCell ref="U51:W51"/>
    <mergeCell ref="X48:Z48"/>
    <mergeCell ref="AA48:AC48"/>
    <mergeCell ref="AD48:AF48"/>
    <mergeCell ref="I50:K50"/>
    <mergeCell ref="L50:N50"/>
    <mergeCell ref="O50:Q50"/>
    <mergeCell ref="R50:T50"/>
    <mergeCell ref="U50:W50"/>
    <mergeCell ref="X50:Z50"/>
    <mergeCell ref="AA50:AC50"/>
    <mergeCell ref="AD50:AF50"/>
    <mergeCell ref="AG48:AI48"/>
    <mergeCell ref="AG50:AI50"/>
    <mergeCell ref="I48:K48"/>
    <mergeCell ref="L48:N48"/>
    <mergeCell ref="O48:Q48"/>
    <mergeCell ref="R48:T48"/>
    <mergeCell ref="U48:W48"/>
    <mergeCell ref="X45:Z45"/>
    <mergeCell ref="AA45:AC45"/>
    <mergeCell ref="AD45:AF45"/>
    <mergeCell ref="I46:K46"/>
    <mergeCell ref="L46:N46"/>
    <mergeCell ref="O46:Q46"/>
    <mergeCell ref="R46:T46"/>
    <mergeCell ref="U46:W46"/>
    <mergeCell ref="X46:Z46"/>
    <mergeCell ref="AA46:AC46"/>
    <mergeCell ref="AD46:AF46"/>
    <mergeCell ref="AG45:AI45"/>
    <mergeCell ref="AG46:AI46"/>
    <mergeCell ref="I45:K45"/>
    <mergeCell ref="L45:N45"/>
    <mergeCell ref="O45:Q45"/>
    <mergeCell ref="R45:T45"/>
    <mergeCell ref="U45:W45"/>
    <mergeCell ref="X42:Z42"/>
    <mergeCell ref="AA42:AC42"/>
    <mergeCell ref="AD42:AF42"/>
    <mergeCell ref="I43:K43"/>
    <mergeCell ref="L43:N43"/>
    <mergeCell ref="O43:Q43"/>
    <mergeCell ref="R43:T43"/>
    <mergeCell ref="U43:W43"/>
    <mergeCell ref="X43:Z43"/>
    <mergeCell ref="AA43:AC43"/>
    <mergeCell ref="AD43:AF43"/>
    <mergeCell ref="AG42:AI42"/>
    <mergeCell ref="AG43:AI43"/>
    <mergeCell ref="I42:K42"/>
    <mergeCell ref="L42:N42"/>
    <mergeCell ref="O42:Q42"/>
    <mergeCell ref="R42:T42"/>
    <mergeCell ref="U42:W42"/>
    <mergeCell ref="X40:Z40"/>
    <mergeCell ref="AA40:AC40"/>
    <mergeCell ref="AD40:AF40"/>
    <mergeCell ref="I41:K41"/>
    <mergeCell ref="L41:N41"/>
    <mergeCell ref="O41:Q41"/>
    <mergeCell ref="R41:T41"/>
    <mergeCell ref="U41:W41"/>
    <mergeCell ref="X41:Z41"/>
    <mergeCell ref="AA41:AC41"/>
    <mergeCell ref="AD41:AF41"/>
    <mergeCell ref="AG40:AI40"/>
    <mergeCell ref="AG41:AI41"/>
    <mergeCell ref="I40:K40"/>
    <mergeCell ref="L40:N40"/>
    <mergeCell ref="O40:Q40"/>
    <mergeCell ref="R40:T40"/>
    <mergeCell ref="U40:W40"/>
    <mergeCell ref="X38:Z38"/>
    <mergeCell ref="AA38:AC38"/>
    <mergeCell ref="AD38:AF38"/>
    <mergeCell ref="I39:K39"/>
    <mergeCell ref="L39:N39"/>
    <mergeCell ref="O39:Q39"/>
    <mergeCell ref="R39:T39"/>
    <mergeCell ref="U39:W39"/>
    <mergeCell ref="X39:Z39"/>
    <mergeCell ref="AA39:AC39"/>
    <mergeCell ref="AD39:AF39"/>
    <mergeCell ref="AG38:AI38"/>
    <mergeCell ref="AG39:AI39"/>
    <mergeCell ref="I38:K38"/>
    <mergeCell ref="L38:N38"/>
    <mergeCell ref="O38:Q38"/>
    <mergeCell ref="R38:T38"/>
    <mergeCell ref="U38:W38"/>
    <mergeCell ref="X35:Z35"/>
    <mergeCell ref="AA35:AC35"/>
    <mergeCell ref="AD35:AF35"/>
    <mergeCell ref="I36:K36"/>
    <mergeCell ref="L36:N36"/>
    <mergeCell ref="O36:Q36"/>
    <mergeCell ref="R36:T36"/>
    <mergeCell ref="U36:W36"/>
    <mergeCell ref="X36:Z36"/>
    <mergeCell ref="AA36:AC36"/>
    <mergeCell ref="AD36:AF36"/>
    <mergeCell ref="AG35:AI35"/>
    <mergeCell ref="AG36:AI36"/>
    <mergeCell ref="I35:K35"/>
    <mergeCell ref="L35:N35"/>
    <mergeCell ref="O35:Q35"/>
    <mergeCell ref="R35:T35"/>
    <mergeCell ref="U35:W35"/>
    <mergeCell ref="U32:W32"/>
    <mergeCell ref="X32:Z32"/>
    <mergeCell ref="AA32:AC32"/>
    <mergeCell ref="AD32:AF32"/>
    <mergeCell ref="AG31:AI31"/>
    <mergeCell ref="AG32:AI32"/>
    <mergeCell ref="I31:K31"/>
    <mergeCell ref="L31:N31"/>
    <mergeCell ref="O31:Q31"/>
    <mergeCell ref="R31:T31"/>
    <mergeCell ref="U31:W31"/>
    <mergeCell ref="X33:Z33"/>
    <mergeCell ref="AA33:AC33"/>
    <mergeCell ref="AD33:AF33"/>
    <mergeCell ref="I34:K34"/>
    <mergeCell ref="L34:N34"/>
    <mergeCell ref="O34:Q34"/>
    <mergeCell ref="R34:T34"/>
    <mergeCell ref="U34:W34"/>
    <mergeCell ref="X34:Z34"/>
    <mergeCell ref="AA34:AC34"/>
    <mergeCell ref="AD34:AF34"/>
    <mergeCell ref="AG33:AI33"/>
    <mergeCell ref="AG34:AI34"/>
    <mergeCell ref="I33:K33"/>
    <mergeCell ref="L33:N33"/>
    <mergeCell ref="O33:Q33"/>
    <mergeCell ref="R33:T33"/>
    <mergeCell ref="U33:W33"/>
    <mergeCell ref="AG30:AI30"/>
    <mergeCell ref="I23:J23"/>
    <mergeCell ref="I24:J24"/>
    <mergeCell ref="I25:J25"/>
    <mergeCell ref="X21:Z21"/>
    <mergeCell ref="AA21:AC21"/>
    <mergeCell ref="AD21:AF21"/>
    <mergeCell ref="I22:K22"/>
    <mergeCell ref="L22:N22"/>
    <mergeCell ref="O22:Q22"/>
    <mergeCell ref="R22:T22"/>
    <mergeCell ref="U22:W22"/>
    <mergeCell ref="X22:Z22"/>
    <mergeCell ref="AA22:AC22"/>
    <mergeCell ref="AD22:AF22"/>
    <mergeCell ref="AG21:AI21"/>
    <mergeCell ref="AG22:AI22"/>
    <mergeCell ref="I21:K21"/>
    <mergeCell ref="L21:N21"/>
    <mergeCell ref="O21:Q21"/>
    <mergeCell ref="R21:T21"/>
    <mergeCell ref="U21:W21"/>
    <mergeCell ref="I26:J26"/>
    <mergeCell ref="I27:J27"/>
    <mergeCell ref="I28:J28"/>
    <mergeCell ref="L23:M23"/>
    <mergeCell ref="O23:P23"/>
    <mergeCell ref="R23:S23"/>
    <mergeCell ref="U23:V23"/>
    <mergeCell ref="X23:Y23"/>
    <mergeCell ref="AA23:AB23"/>
    <mergeCell ref="AD23:AE23"/>
    <mergeCell ref="X19:Z19"/>
    <mergeCell ref="AA19:AC19"/>
    <mergeCell ref="AD19:AF19"/>
    <mergeCell ref="I20:K20"/>
    <mergeCell ref="L20:N20"/>
    <mergeCell ref="O20:Q20"/>
    <mergeCell ref="R20:T20"/>
    <mergeCell ref="U20:W20"/>
    <mergeCell ref="X20:Z20"/>
    <mergeCell ref="AA20:AC20"/>
    <mergeCell ref="AD20:AF20"/>
    <mergeCell ref="AG19:AI19"/>
    <mergeCell ref="AG20:AI20"/>
    <mergeCell ref="I19:K19"/>
    <mergeCell ref="L19:N19"/>
    <mergeCell ref="O19:Q19"/>
    <mergeCell ref="R19:T19"/>
    <mergeCell ref="U19:W19"/>
    <mergeCell ref="X17:Z17"/>
    <mergeCell ref="AA17:AC17"/>
    <mergeCell ref="AD17:AF17"/>
    <mergeCell ref="I18:K18"/>
    <mergeCell ref="L18:N18"/>
    <mergeCell ref="O18:Q18"/>
    <mergeCell ref="R18:T18"/>
    <mergeCell ref="U18:W18"/>
    <mergeCell ref="X18:Z18"/>
    <mergeCell ref="AA18:AC18"/>
    <mergeCell ref="AD18:AF18"/>
    <mergeCell ref="AG17:AI17"/>
    <mergeCell ref="AG18:AI18"/>
    <mergeCell ref="I17:K17"/>
    <mergeCell ref="L17:N17"/>
    <mergeCell ref="O17:Q17"/>
    <mergeCell ref="R17:T17"/>
    <mergeCell ref="U17:W17"/>
    <mergeCell ref="X14:Z14"/>
    <mergeCell ref="AA14:AC14"/>
    <mergeCell ref="AD14:AF14"/>
    <mergeCell ref="I16:K16"/>
    <mergeCell ref="L16:N16"/>
    <mergeCell ref="O16:Q16"/>
    <mergeCell ref="R16:T16"/>
    <mergeCell ref="U16:W16"/>
    <mergeCell ref="X16:Z16"/>
    <mergeCell ref="AA16:AC16"/>
    <mergeCell ref="AD16:AF16"/>
    <mergeCell ref="AG14:AI14"/>
    <mergeCell ref="AG16:AI16"/>
    <mergeCell ref="I14:K14"/>
    <mergeCell ref="L14:N14"/>
    <mergeCell ref="O14:Q14"/>
    <mergeCell ref="R14:T14"/>
    <mergeCell ref="U14:W14"/>
    <mergeCell ref="X11:Z11"/>
    <mergeCell ref="AA11:AC11"/>
    <mergeCell ref="AD11:AF11"/>
    <mergeCell ref="I12:K12"/>
    <mergeCell ref="L12:N12"/>
    <mergeCell ref="O12:Q12"/>
    <mergeCell ref="R12:T12"/>
    <mergeCell ref="U12:W12"/>
    <mergeCell ref="X12:Z12"/>
    <mergeCell ref="AA12:AC12"/>
    <mergeCell ref="AD12:AF12"/>
    <mergeCell ref="AG11:AI11"/>
    <mergeCell ref="AG12:AI12"/>
    <mergeCell ref="I11:K11"/>
    <mergeCell ref="L11:N11"/>
    <mergeCell ref="O11:Q11"/>
    <mergeCell ref="R11:T11"/>
    <mergeCell ref="U11:W11"/>
    <mergeCell ref="X9:Z9"/>
    <mergeCell ref="AA9:AC9"/>
    <mergeCell ref="AD9:AF9"/>
    <mergeCell ref="I10:K10"/>
    <mergeCell ref="L10:N10"/>
    <mergeCell ref="O10:Q10"/>
    <mergeCell ref="R10:T10"/>
    <mergeCell ref="U10:W10"/>
    <mergeCell ref="X10:Z10"/>
    <mergeCell ref="AA10:AC10"/>
    <mergeCell ref="AD10:AF10"/>
    <mergeCell ref="AG9:AI9"/>
    <mergeCell ref="AG10:AI10"/>
    <mergeCell ref="I9:K9"/>
    <mergeCell ref="L9:N9"/>
    <mergeCell ref="O9:Q9"/>
    <mergeCell ref="R9:T9"/>
    <mergeCell ref="U9:W9"/>
    <mergeCell ref="X6:Z6"/>
    <mergeCell ref="AA6:AC6"/>
    <mergeCell ref="AD6:AF6"/>
    <mergeCell ref="I8:K8"/>
    <mergeCell ref="L8:N8"/>
    <mergeCell ref="O8:Q8"/>
    <mergeCell ref="R8:T8"/>
    <mergeCell ref="U8:W8"/>
    <mergeCell ref="X8:Z8"/>
    <mergeCell ref="AA8:AC8"/>
    <mergeCell ref="AD8:AF8"/>
    <mergeCell ref="AG6:AI6"/>
    <mergeCell ref="AG8:AI8"/>
    <mergeCell ref="I6:K6"/>
    <mergeCell ref="L6:N6"/>
    <mergeCell ref="O6:Q6"/>
    <mergeCell ref="R6:T6"/>
    <mergeCell ref="U6:W6"/>
    <mergeCell ref="L7:N7"/>
    <mergeCell ref="I7:K7"/>
    <mergeCell ref="R7:T7"/>
    <mergeCell ref="O7:Q7"/>
    <mergeCell ref="I30:K30"/>
    <mergeCell ref="L30:N30"/>
    <mergeCell ref="O30:Q30"/>
    <mergeCell ref="R30:T30"/>
    <mergeCell ref="U30:W30"/>
    <mergeCell ref="X30:Z30"/>
    <mergeCell ref="AA30:AC30"/>
    <mergeCell ref="AD30:AF30"/>
    <mergeCell ref="F82:H82"/>
    <mergeCell ref="F84:H84"/>
    <mergeCell ref="F85:H85"/>
    <mergeCell ref="F87:H87"/>
    <mergeCell ref="F89:H89"/>
    <mergeCell ref="F86:H86"/>
    <mergeCell ref="F69:H69"/>
    <mergeCell ref="F71:H71"/>
    <mergeCell ref="F79:H79"/>
    <mergeCell ref="F80:H80"/>
    <mergeCell ref="F81:H81"/>
    <mergeCell ref="F64:H64"/>
    <mergeCell ref="F59:H59"/>
    <mergeCell ref="F62:H62"/>
    <mergeCell ref="F67:H67"/>
    <mergeCell ref="F68:H68"/>
    <mergeCell ref="F56:H56"/>
    <mergeCell ref="X31:Z31"/>
    <mergeCell ref="AA31:AC31"/>
    <mergeCell ref="AD31:AF31"/>
    <mergeCell ref="I32:K32"/>
    <mergeCell ref="L32:N32"/>
    <mergeCell ref="O32:Q32"/>
    <mergeCell ref="R32:T32"/>
    <mergeCell ref="F55:H55"/>
    <mergeCell ref="F54:H54"/>
    <mergeCell ref="F53:H53"/>
    <mergeCell ref="F58:H58"/>
    <mergeCell ref="F48:H48"/>
    <mergeCell ref="F46:H46"/>
    <mergeCell ref="F45:H45"/>
    <mergeCell ref="F51:H51"/>
    <mergeCell ref="F50:H50"/>
    <mergeCell ref="F31:H31"/>
    <mergeCell ref="F30:H30"/>
    <mergeCell ref="F43:H43"/>
    <mergeCell ref="F42:H42"/>
    <mergeCell ref="F41:H41"/>
    <mergeCell ref="F40:H40"/>
    <mergeCell ref="F39:H39"/>
    <mergeCell ref="F38:H38"/>
    <mergeCell ref="F36:H36"/>
    <mergeCell ref="F35:H35"/>
    <mergeCell ref="F34:H34"/>
    <mergeCell ref="F33:H33"/>
    <mergeCell ref="F32:H32"/>
    <mergeCell ref="F47:H47"/>
    <mergeCell ref="F14:H14"/>
    <mergeCell ref="F22:H22"/>
    <mergeCell ref="F21:H21"/>
    <mergeCell ref="F20:H20"/>
    <mergeCell ref="F19:H19"/>
    <mergeCell ref="F18:H18"/>
    <mergeCell ref="F17:H17"/>
    <mergeCell ref="F16:H16"/>
    <mergeCell ref="F6:H6"/>
    <mergeCell ref="F12:H12"/>
    <mergeCell ref="F11:H11"/>
    <mergeCell ref="F10:H10"/>
    <mergeCell ref="F9:H9"/>
    <mergeCell ref="F8:H8"/>
    <mergeCell ref="F23:G23"/>
    <mergeCell ref="BB47:BD47"/>
    <mergeCell ref="BE47:BG47"/>
    <mergeCell ref="I47:K47"/>
    <mergeCell ref="L47:N47"/>
    <mergeCell ref="O47:Q47"/>
    <mergeCell ref="R47:T47"/>
    <mergeCell ref="U47:W47"/>
    <mergeCell ref="X47:Z47"/>
    <mergeCell ref="AA47:AC47"/>
    <mergeCell ref="AD47:AF47"/>
    <mergeCell ref="AG47:AI47"/>
    <mergeCell ref="AJ47:AL47"/>
    <mergeCell ref="AM47:AO47"/>
    <mergeCell ref="AP47:AR47"/>
    <mergeCell ref="AS47:AU47"/>
    <mergeCell ref="AV47:AX47"/>
    <mergeCell ref="AY47:BA47"/>
    <mergeCell ref="A3:E3"/>
    <mergeCell ref="F91:H91"/>
    <mergeCell ref="BN7:BP7"/>
    <mergeCell ref="BQ7:BS7"/>
    <mergeCell ref="BT7:BV7"/>
    <mergeCell ref="BW7:BY7"/>
    <mergeCell ref="BZ7:CB7"/>
    <mergeCell ref="CC7:CE7"/>
    <mergeCell ref="CF7:CH7"/>
    <mergeCell ref="CI7:CK7"/>
    <mergeCell ref="CL7:CN7"/>
    <mergeCell ref="CO7:CQ7"/>
    <mergeCell ref="F7:H7"/>
    <mergeCell ref="AG7:AI7"/>
    <mergeCell ref="AD7:AF7"/>
    <mergeCell ref="AA7:AC7"/>
    <mergeCell ref="X7:Z7"/>
    <mergeCell ref="U7:W7"/>
    <mergeCell ref="F27:G27"/>
    <mergeCell ref="F26:G26"/>
    <mergeCell ref="F28:G28"/>
    <mergeCell ref="F25:G25"/>
    <mergeCell ref="F24:G24"/>
    <mergeCell ref="BH47:BJ47"/>
    <mergeCell ref="BK47:BM47"/>
    <mergeCell ref="BN47:BP47"/>
    <mergeCell ref="BQ47:BS47"/>
    <mergeCell ref="BT47:BV47"/>
    <mergeCell ref="BW47:BY47"/>
    <mergeCell ref="BZ47:CB47"/>
    <mergeCell ref="CC47:CE47"/>
    <mergeCell ref="CF47:CH47"/>
  </mergeCells>
  <phoneticPr fontId="5" type="noConversion"/>
  <conditionalFormatting sqref="A8:C12 A14:C14 A30:C36 A38:C43 A45:C48 A50:C51 A53:C56 A79:C82 A84:C87 A89:C89 A91:C92">
    <cfRule type="containsText" dxfId="771" priority="2173" operator="containsText" text="X">
      <formula>NOT(ISERROR(SEARCH("X",A8)))</formula>
    </cfRule>
  </conditionalFormatting>
  <conditionalFormatting sqref="A16:C28">
    <cfRule type="containsText" dxfId="770" priority="2158" operator="containsText" text="X">
      <formula>NOT(ISERROR(SEARCH("X",A16)))</formula>
    </cfRule>
  </conditionalFormatting>
  <conditionalFormatting sqref="A58:C77">
    <cfRule type="containsText" dxfId="769" priority="1703" operator="containsText" text="X">
      <formula>NOT(ISERROR(SEARCH("X",A58)))</formula>
    </cfRule>
  </conditionalFormatting>
  <conditionalFormatting sqref="D24:D28">
    <cfRule type="expression" dxfId="768" priority="847">
      <formula>E24&lt;&gt;""</formula>
    </cfRule>
  </conditionalFormatting>
  <conditionalFormatting sqref="F60:F61">
    <cfRule type="expression" dxfId="767" priority="1664">
      <formula>F60=""</formula>
    </cfRule>
  </conditionalFormatting>
  <conditionalFormatting sqref="F63">
    <cfRule type="expression" dxfId="766" priority="1665">
      <formula>F63=""</formula>
    </cfRule>
  </conditionalFormatting>
  <conditionalFormatting sqref="F65:F66">
    <cfRule type="expression" dxfId="765" priority="1663">
      <formula>F65=""</formula>
    </cfRule>
  </conditionalFormatting>
  <conditionalFormatting sqref="F70">
    <cfRule type="expression" dxfId="764" priority="1662">
      <formula>F70=""</formula>
    </cfRule>
  </conditionalFormatting>
  <conditionalFormatting sqref="F72:F74">
    <cfRule type="expression" dxfId="763" priority="1659">
      <formula>F72=""</formula>
    </cfRule>
  </conditionalFormatting>
  <conditionalFormatting sqref="F77">
    <cfRule type="expression" dxfId="762" priority="245">
      <formula>F77=""</formula>
    </cfRule>
  </conditionalFormatting>
  <conditionalFormatting sqref="F90 I90 L90 O90 R90 U90 X90 AA90 AD90 AG90 AJ90 AM90 AP90 AS90 AV90 AY90 BB90 BE90 BH90 BK90 BN90 BQ90 BT90 BW90 BZ90 CC90 CF90 CI90 CL90 CO90">
    <cfRule type="iconSet" priority="1109">
      <iconSet iconSet="3Symbols" showValue="0">
        <cfvo type="percent" val="0"/>
        <cfvo type="num" val="0"/>
        <cfvo type="num" val="1"/>
      </iconSet>
    </cfRule>
  </conditionalFormatting>
  <conditionalFormatting sqref="F25:G25">
    <cfRule type="expression" dxfId="761" priority="204">
      <formula>$E$25&lt;&gt;""</formula>
    </cfRule>
  </conditionalFormatting>
  <conditionalFormatting sqref="F26:G26">
    <cfRule type="expression" dxfId="760" priority="206">
      <formula>$E$26&lt;&gt;""</formula>
    </cfRule>
  </conditionalFormatting>
  <conditionalFormatting sqref="F16:H22">
    <cfRule type="expression" dxfId="759" priority="207">
      <formula>F16=""</formula>
    </cfRule>
  </conditionalFormatting>
  <conditionalFormatting sqref="F24:H24 K24 N24 Q24 T24 W24 Z24 AC24 AF24:CQ24">
    <cfRule type="expression" dxfId="758" priority="1022">
      <formula>$E$24&lt;&gt;""</formula>
    </cfRule>
  </conditionalFormatting>
  <conditionalFormatting sqref="F38:H38 O38:CQ38">
    <cfRule type="expression" dxfId="757" priority="1814">
      <formula>F38=0</formula>
    </cfRule>
  </conditionalFormatting>
  <conditionalFormatting sqref="F38:H40 F41:CQ42 F43:N43 O38:CQ38 AA43:CQ43 AD40:CQ40 AG39:CQ39">
    <cfRule type="expression" dxfId="756" priority="1094">
      <formula>F38=""</formula>
    </cfRule>
  </conditionalFormatting>
  <conditionalFormatting sqref="F53:H53">
    <cfRule type="expression" dxfId="755" priority="195">
      <formula>F53=""</formula>
    </cfRule>
  </conditionalFormatting>
  <conditionalFormatting sqref="F76:I76">
    <cfRule type="expression" dxfId="753" priority="753">
      <formula>F76=""</formula>
    </cfRule>
  </conditionalFormatting>
  <conditionalFormatting sqref="F45:N46">
    <cfRule type="expression" dxfId="752" priority="141">
      <formula>F45=""</formula>
    </cfRule>
    <cfRule type="expression" dxfId="751" priority="142">
      <formula>F45=0</formula>
    </cfRule>
  </conditionalFormatting>
  <conditionalFormatting sqref="F50:N50 F51:CQ51 R50:T50 AA50:CQ50">
    <cfRule type="expression" dxfId="750" priority="1820">
      <formula>F50=""</formula>
    </cfRule>
  </conditionalFormatting>
  <conditionalFormatting sqref="F89:T89">
    <cfRule type="expression" dxfId="749" priority="4">
      <formula>F89=""</formula>
    </cfRule>
  </conditionalFormatting>
  <conditionalFormatting sqref="F84:AC84 F85:CQ87 AG84:CQ84">
    <cfRule type="expression" dxfId="748" priority="1701">
      <formula>F84=""</formula>
    </cfRule>
  </conditionalFormatting>
  <conditionalFormatting sqref="F30:AF31">
    <cfRule type="expression" dxfId="747" priority="49">
      <formula>F30=""</formula>
    </cfRule>
  </conditionalFormatting>
  <conditionalFormatting sqref="F36:AF36">
    <cfRule type="expression" dxfId="746" priority="59">
      <formula>F36=""</formula>
    </cfRule>
  </conditionalFormatting>
  <conditionalFormatting sqref="F14:CQ14">
    <cfRule type="expression" dxfId="745" priority="1822">
      <formula>F14=""</formula>
    </cfRule>
  </conditionalFormatting>
  <conditionalFormatting sqref="F24:CQ28">
    <cfRule type="expression" dxfId="744" priority="69">
      <formula>F24&lt;&gt;""</formula>
    </cfRule>
  </conditionalFormatting>
  <conditionalFormatting sqref="F27:CQ27">
    <cfRule type="expression" dxfId="743" priority="987">
      <formula>$E$27&lt;&gt;""</formula>
    </cfRule>
  </conditionalFormatting>
  <conditionalFormatting sqref="F28:CQ28">
    <cfRule type="expression" dxfId="742" priority="982">
      <formula>$E$28&lt;&gt;""</formula>
    </cfRule>
  </conditionalFormatting>
  <conditionalFormatting sqref="F32:CQ35 AG30:CQ31 AG36:CQ36">
    <cfRule type="expression" dxfId="741" priority="1815">
      <formula>F30=""</formula>
    </cfRule>
  </conditionalFormatting>
  <conditionalFormatting sqref="F47:CQ47 O45:Z45 O46:CQ46 AG45:CQ45">
    <cfRule type="expression" dxfId="740" priority="1092">
      <formula>F45=""</formula>
    </cfRule>
  </conditionalFormatting>
  <conditionalFormatting sqref="F54:CQ56 I53:CQ53">
    <cfRule type="expression" dxfId="739" priority="1810">
      <formula>F53=""</formula>
    </cfRule>
  </conditionalFormatting>
  <conditionalFormatting sqref="F59:CQ59">
    <cfRule type="expression" dxfId="738" priority="1819">
      <formula>F59=""</formula>
    </cfRule>
  </conditionalFormatting>
  <conditionalFormatting sqref="F62:CQ62">
    <cfRule type="expression" dxfId="737" priority="1818">
      <formula>F62=""</formula>
    </cfRule>
  </conditionalFormatting>
  <conditionalFormatting sqref="F67:CQ69">
    <cfRule type="expression" dxfId="736" priority="1817">
      <formula>F67=""</formula>
    </cfRule>
  </conditionalFormatting>
  <conditionalFormatting sqref="F80:CQ82">
    <cfRule type="expression" dxfId="735" priority="1816">
      <formula>F80=""</formula>
    </cfRule>
  </conditionalFormatting>
  <conditionalFormatting sqref="F91:CQ91">
    <cfRule type="containsText" dxfId="734" priority="214" operator="containsText" text="Incomplete">
      <formula>NOT(ISERROR(SEARCH("Incomplete",F91)))</formula>
    </cfRule>
  </conditionalFormatting>
  <conditionalFormatting sqref="F92:CQ92">
    <cfRule type="expression" dxfId="733" priority="246">
      <formula>F$92&lt;&gt;""</formula>
    </cfRule>
    <cfRule type="expression" dxfId="732" priority="1098">
      <formula>ISERROR(SEARCH("items",F91))=FALSE</formula>
    </cfRule>
  </conditionalFormatting>
  <conditionalFormatting sqref="H25 K25 N25 Q25 T25 W25:CQ25">
    <cfRule type="expression" dxfId="731" priority="997">
      <formula>$E$25&lt;&gt;""</formula>
    </cfRule>
  </conditionalFormatting>
  <conditionalFormatting sqref="H26 K26 N26 Q26 T26 W26 Z26 AC26 AF26:CQ26">
    <cfRule type="expression" dxfId="730" priority="992">
      <formula>$E$26&lt;&gt;""</formula>
    </cfRule>
  </conditionalFormatting>
  <conditionalFormatting sqref="H60:H61">
    <cfRule type="expression" dxfId="729" priority="1652">
      <formula>AND(F60="Yes",H60&lt;&gt;"")</formula>
    </cfRule>
    <cfRule type="expression" dxfId="728" priority="1653">
      <formula>F60="Yes"</formula>
    </cfRule>
  </conditionalFormatting>
  <conditionalFormatting sqref="H63">
    <cfRule type="expression" dxfId="727" priority="1650">
      <formula>AND(F63="Yes",H63&lt;&gt;"")</formula>
    </cfRule>
    <cfRule type="expression" dxfId="726" priority="1651">
      <formula>F63="Yes"</formula>
    </cfRule>
  </conditionalFormatting>
  <conditionalFormatting sqref="H65">
    <cfRule type="expression" dxfId="725" priority="193">
      <formula>AND(F65="Yes",H65&lt;&gt;"")</formula>
    </cfRule>
    <cfRule type="expression" dxfId="724" priority="194">
      <formula>F65="Yes"</formula>
    </cfRule>
  </conditionalFormatting>
  <conditionalFormatting sqref="H66">
    <cfRule type="expression" dxfId="723" priority="1648">
      <formula>AND(F66="Yes",H66&lt;&gt;"")</formula>
    </cfRule>
    <cfRule type="expression" dxfId="722" priority="1649">
      <formula>F66="Yes"</formula>
    </cfRule>
  </conditionalFormatting>
  <conditionalFormatting sqref="H70">
    <cfRule type="expression" dxfId="721" priority="1646">
      <formula>AND(F70="Yes",H70&lt;&gt;"")</formula>
    </cfRule>
    <cfRule type="expression" dxfId="720" priority="1647">
      <formula>F70="Yes"</formula>
    </cfRule>
  </conditionalFormatting>
  <conditionalFormatting sqref="H72 H74 H77">
    <cfRule type="expression" dxfId="719" priority="1644">
      <formula>AND(F72="Yes",H72&lt;&gt;"")</formula>
    </cfRule>
    <cfRule type="expression" dxfId="718" priority="1645">
      <formula>F72="Yes"</formula>
    </cfRule>
  </conditionalFormatting>
  <conditionalFormatting sqref="H73">
    <cfRule type="expression" dxfId="717" priority="191">
      <formula>AND(F73="Yes",H73&lt;&gt;"")</formula>
    </cfRule>
    <cfRule type="expression" dxfId="716" priority="192">
      <formula>F73="Yes"</formula>
    </cfRule>
  </conditionalFormatting>
  <conditionalFormatting sqref="I29">
    <cfRule type="iconSet" priority="786">
      <iconSet iconSet="3Symbols" showValue="0">
        <cfvo type="percent" val="0"/>
        <cfvo type="num" val="0"/>
        <cfvo type="num" val="1"/>
      </iconSet>
    </cfRule>
  </conditionalFormatting>
  <conditionalFormatting sqref="I37 L37 O37 R37 U37 X37 AA37 AD37 AG37 AJ37 AM37 AP37 AS37 AV37 AY37 BB37 BE37 BH37 BK37 BN37 BQ37 BT37 BW37 BZ37 CC37 CF37 CI37 CL37 CO37">
    <cfRule type="iconSet" priority="1037">
      <iconSet iconSet="3Symbols" showValue="0">
        <cfvo type="percent" val="0"/>
        <cfvo type="num" val="0"/>
        <cfvo type="num" val="1"/>
      </iconSet>
    </cfRule>
  </conditionalFormatting>
  <conditionalFormatting sqref="I44 L44 O44 R44 U44 X44 AA44 AD44 AG44 AJ44 AM44 AP44 AS44 AV44 AY44 BB44 BE44 BH44 BK44 BN44 BQ44 BT44 BW44 BZ44 CC44 CF44 CI44 CL44 CO44">
    <cfRule type="iconSet" priority="1107">
      <iconSet iconSet="3Symbols" showValue="0">
        <cfvo type="percent" val="0"/>
        <cfvo type="num" val="0"/>
        <cfvo type="num" val="1"/>
      </iconSet>
    </cfRule>
  </conditionalFormatting>
  <conditionalFormatting sqref="I49 L49 O49 R49 U49 X49 AA49 AD49 AG49 AJ49 AM49 AP49 AS49 AV49 AY49 BB49 BE49 BH49 BK49 BN49 BQ49 BT49 BW49 BZ49 CC49 CF49 CI49 CL49 CO49">
    <cfRule type="iconSet" priority="1104">
      <iconSet iconSet="3Symbols" showValue="0">
        <cfvo type="percent" val="0"/>
        <cfvo type="num" val="0"/>
        <cfvo type="num" val="1"/>
      </iconSet>
    </cfRule>
  </conditionalFormatting>
  <conditionalFormatting sqref="I52 L52 O52 R52 U52 X52 AA52 AD52 AG52 AJ52 AM52 AP52 AS52 AV52 AY52 BB52 BE52 BH52 BK52 BN52 BQ52 BT52 BW52 BZ52 CC52 CF52 CI52 CL52 CO52">
    <cfRule type="iconSet" priority="1102">
      <iconSet iconSet="3Symbols" showValue="0">
        <cfvo type="percent" val="0"/>
        <cfvo type="num" val="0"/>
        <cfvo type="num" val="1"/>
      </iconSet>
    </cfRule>
  </conditionalFormatting>
  <conditionalFormatting sqref="I57 L57 O57 R57 U57 X57 AA57 AD57 AG57 AJ57 AM57 AP57 AS57 AV57 AY57 BB57 BE57 BH57 BK57 BN57 BQ57 BT57 BW57 BZ57 CC57 CF57 CI57 CL57 CO57">
    <cfRule type="iconSet" priority="1033">
      <iconSet iconSet="3Symbols" showValue="0">
        <cfvo type="percent" val="0"/>
        <cfvo type="num" val="0"/>
        <cfvo type="num" val="1"/>
      </iconSet>
    </cfRule>
  </conditionalFormatting>
  <conditionalFormatting sqref="I60:I61">
    <cfRule type="expression" dxfId="715" priority="1641">
      <formula>I60=""</formula>
    </cfRule>
  </conditionalFormatting>
  <conditionalFormatting sqref="I63">
    <cfRule type="expression" dxfId="714" priority="1643">
      <formula>I63=""</formula>
    </cfRule>
  </conditionalFormatting>
  <conditionalFormatting sqref="I65:I66">
    <cfRule type="expression" dxfId="713" priority="1526">
      <formula>I65=""</formula>
    </cfRule>
  </conditionalFormatting>
  <conditionalFormatting sqref="I70">
    <cfRule type="expression" dxfId="712" priority="1640">
      <formula>I70=""</formula>
    </cfRule>
  </conditionalFormatting>
  <conditionalFormatting sqref="I72:I73">
    <cfRule type="expression" dxfId="711" priority="1436">
      <formula>I72=""</formula>
    </cfRule>
  </conditionalFormatting>
  <conditionalFormatting sqref="I77">
    <cfRule type="expression" dxfId="710" priority="1088">
      <formula>$I$77=""</formula>
    </cfRule>
  </conditionalFormatting>
  <conditionalFormatting sqref="I78 L78 O78 R78 U78 X78 AA78 AD78 AG78 AJ78 AM78 AP78 AS78 AV78 AY78 BB78 BE78 BH78 BK78 BN78 BQ78 BT78 BW78 BZ78 CC78 CF78 CI78 CL78 CO78">
    <cfRule type="iconSet" priority="1100">
      <iconSet iconSet="3Symbols" showValue="0">
        <cfvo type="percent" val="0"/>
        <cfvo type="num" val="0"/>
        <cfvo type="num" val="1"/>
      </iconSet>
    </cfRule>
  </conditionalFormatting>
  <conditionalFormatting sqref="I83 L83 O83 R83 U83 X83 AA83 AD83 AG83 AJ83 AM83 AP83 AS83 AV83 AY83 BB83 BE83 BH83 BK83 BN83 BQ83 BT83 BW83 BZ83 CC83 CF83 CI83 CL83 CO83">
    <cfRule type="iconSet" priority="1031">
      <iconSet iconSet="3Symbols" showValue="0">
        <cfvo type="percent" val="0"/>
        <cfvo type="num" val="0"/>
        <cfvo type="num" val="1"/>
      </iconSet>
    </cfRule>
  </conditionalFormatting>
  <conditionalFormatting sqref="I88 L88 O88 R88 U88 X88 AA88 AD88 AG88 AJ88 AM88 AP88 AS88 AV88 AY88 BB88 BE88 BH88 BK88 BN88 BQ88 BT88 BW88 BZ88 CC88 CF88 CI88 CL88 CO88">
    <cfRule type="iconSet" priority="1030">
      <iconSet iconSet="3Symbols" showValue="0">
        <cfvo type="percent" val="0"/>
        <cfvo type="num" val="0"/>
        <cfvo type="num" val="1"/>
      </iconSet>
    </cfRule>
  </conditionalFormatting>
  <conditionalFormatting sqref="I24:J25">
    <cfRule type="expression" dxfId="709" priority="167">
      <formula>$E$25&lt;&gt;""</formula>
    </cfRule>
  </conditionalFormatting>
  <conditionalFormatting sqref="I26:J26">
    <cfRule type="expression" dxfId="708" priority="177">
      <formula>$E$26&lt;&gt;""</formula>
    </cfRule>
  </conditionalFormatting>
  <conditionalFormatting sqref="I16:N19">
    <cfRule type="expression" dxfId="705" priority="182">
      <formula>I16=""</formula>
    </cfRule>
  </conditionalFormatting>
  <conditionalFormatting sqref="I20:N20 O16:Z16 R20:Z20 R22:T22 X19:Z19 AG16:CQ22">
    <cfRule type="expression" dxfId="704" priority="1821">
      <formula>I16=""</formula>
    </cfRule>
  </conditionalFormatting>
  <conditionalFormatting sqref="I21:N22">
    <cfRule type="expression" dxfId="703" priority="178">
      <formula>I21=""</formula>
    </cfRule>
  </conditionalFormatting>
  <conditionalFormatting sqref="I38:N38">
    <cfRule type="expression" dxfId="702" priority="157">
      <formula>I38=0</formula>
    </cfRule>
  </conditionalFormatting>
  <conditionalFormatting sqref="I38:N40">
    <cfRule type="expression" dxfId="701" priority="152">
      <formula>I38=""</formula>
    </cfRule>
  </conditionalFormatting>
  <conditionalFormatting sqref="K60:K61">
    <cfRule type="expression" dxfId="700" priority="743">
      <formula>AND(I60="Yes",K60&lt;&gt;"")</formula>
    </cfRule>
    <cfRule type="expression" dxfId="699" priority="744">
      <formula>I60="Yes"</formula>
    </cfRule>
  </conditionalFormatting>
  <conditionalFormatting sqref="K63">
    <cfRule type="expression" dxfId="698" priority="595">
      <formula>AND(I63="Yes",K63&lt;&gt;"")</formula>
    </cfRule>
    <cfRule type="expression" dxfId="697" priority="596">
      <formula>I63="Yes"</formula>
    </cfRule>
  </conditionalFormatting>
  <conditionalFormatting sqref="K65">
    <cfRule type="expression" dxfId="696" priority="139">
      <formula>AND(I65="Yes",K65&lt;&gt;"")</formula>
    </cfRule>
    <cfRule type="expression" dxfId="695" priority="140">
      <formula>I65="Yes"</formula>
    </cfRule>
  </conditionalFormatting>
  <conditionalFormatting sqref="K66">
    <cfRule type="expression" dxfId="694" priority="508">
      <formula>AND(I66="Yes",K66&lt;&gt;"")</formula>
    </cfRule>
    <cfRule type="expression" dxfId="693" priority="509">
      <formula>I66="Yes"</formula>
    </cfRule>
  </conditionalFormatting>
  <conditionalFormatting sqref="K70">
    <cfRule type="expression" dxfId="692" priority="421">
      <formula>AND(I70="Yes",K70&lt;&gt;"")</formula>
    </cfRule>
    <cfRule type="expression" dxfId="691" priority="422">
      <formula>I70="Yes"</formula>
    </cfRule>
  </conditionalFormatting>
  <conditionalFormatting sqref="K72:K74 K77">
    <cfRule type="expression" dxfId="690" priority="334">
      <formula>AND(I72="Yes",K72&lt;&gt;"")</formula>
    </cfRule>
    <cfRule type="expression" dxfId="689" priority="335">
      <formula>I72="Yes"</formula>
    </cfRule>
  </conditionalFormatting>
  <conditionalFormatting sqref="L29">
    <cfRule type="iconSet" priority="784">
      <iconSet iconSet="3Symbols" showValue="0">
        <cfvo type="percent" val="0"/>
        <cfvo type="num" val="0"/>
        <cfvo type="num" val="1"/>
      </iconSet>
    </cfRule>
  </conditionalFormatting>
  <conditionalFormatting sqref="L60:L61">
    <cfRule type="expression" dxfId="688" priority="1638">
      <formula>L60=""</formula>
    </cfRule>
  </conditionalFormatting>
  <conditionalFormatting sqref="L63">
    <cfRule type="expression" dxfId="687" priority="1637">
      <formula>L63=""</formula>
    </cfRule>
  </conditionalFormatting>
  <conditionalFormatting sqref="L65:L66">
    <cfRule type="expression" dxfId="686" priority="1554">
      <formula>L65=""</formula>
    </cfRule>
  </conditionalFormatting>
  <conditionalFormatting sqref="L70">
    <cfRule type="expression" dxfId="685" priority="1522">
      <formula>L70=""</formula>
    </cfRule>
  </conditionalFormatting>
  <conditionalFormatting sqref="L72:L73">
    <cfRule type="expression" dxfId="684" priority="1432">
      <formula>L72=""</formula>
    </cfRule>
  </conditionalFormatting>
  <conditionalFormatting sqref="L76">
    <cfRule type="expression" dxfId="683" priority="1431">
      <formula>L76=""</formula>
    </cfRule>
  </conditionalFormatting>
  <conditionalFormatting sqref="L77">
    <cfRule type="expression" dxfId="682" priority="1086">
      <formula>$L$77=""</formula>
    </cfRule>
  </conditionalFormatting>
  <conditionalFormatting sqref="L24:M25">
    <cfRule type="expression" dxfId="681" priority="169">
      <formula>$E$25&lt;&gt;""</formula>
    </cfRule>
  </conditionalFormatting>
  <conditionalFormatting sqref="L26:M26">
    <cfRule type="expression" dxfId="680" priority="175">
      <formula>$E$26&lt;&gt;""</formula>
    </cfRule>
  </conditionalFormatting>
  <conditionalFormatting sqref="N60:N61">
    <cfRule type="expression" dxfId="678" priority="738">
      <formula>AND(L60="Yes",N60&lt;&gt;"")</formula>
    </cfRule>
    <cfRule type="expression" dxfId="677" priority="739">
      <formula>L60="Yes"</formula>
    </cfRule>
  </conditionalFormatting>
  <conditionalFormatting sqref="N63">
    <cfRule type="expression" dxfId="676" priority="592">
      <formula>AND(L63="Yes",N63&lt;&gt;"")</formula>
    </cfRule>
    <cfRule type="expression" dxfId="675" priority="593">
      <formula>L63="Yes"</formula>
    </cfRule>
  </conditionalFormatting>
  <conditionalFormatting sqref="N65">
    <cfRule type="expression" dxfId="674" priority="137">
      <formula>AND(L65="Yes",N65&lt;&gt;"")</formula>
    </cfRule>
    <cfRule type="expression" dxfId="673" priority="138">
      <formula>L65="Yes"</formula>
    </cfRule>
  </conditionalFormatting>
  <conditionalFormatting sqref="N66">
    <cfRule type="expression" dxfId="672" priority="505">
      <formula>AND(L66="Yes",N66&lt;&gt;"")</formula>
    </cfRule>
    <cfRule type="expression" dxfId="671" priority="506">
      <formula>L66="Yes"</formula>
    </cfRule>
  </conditionalFormatting>
  <conditionalFormatting sqref="N70">
    <cfRule type="expression" dxfId="670" priority="418">
      <formula>AND(L70="Yes",N70&lt;&gt;"")</formula>
    </cfRule>
    <cfRule type="expression" dxfId="669" priority="419">
      <formula>L70="Yes"</formula>
    </cfRule>
  </conditionalFormatting>
  <conditionalFormatting sqref="N72:N74 N77">
    <cfRule type="expression" dxfId="668" priority="331">
      <formula>AND(L72="Yes",N72&lt;&gt;"")</formula>
    </cfRule>
    <cfRule type="expression" dxfId="667" priority="332">
      <formula>L72="Yes"</formula>
    </cfRule>
  </conditionalFormatting>
  <conditionalFormatting sqref="O29">
    <cfRule type="iconSet" priority="783">
      <iconSet iconSet="3Symbols" showValue="0">
        <cfvo type="percent" val="0"/>
        <cfvo type="num" val="0"/>
        <cfvo type="num" val="1"/>
      </iconSet>
    </cfRule>
  </conditionalFormatting>
  <conditionalFormatting sqref="O60:O61">
    <cfRule type="expression" dxfId="666" priority="1635">
      <formula>O60=""</formula>
    </cfRule>
  </conditionalFormatting>
  <conditionalFormatting sqref="O63">
    <cfRule type="expression" dxfId="665" priority="1634">
      <formula>O63=""</formula>
    </cfRule>
  </conditionalFormatting>
  <conditionalFormatting sqref="O65:O66">
    <cfRule type="expression" dxfId="664" priority="1553">
      <formula>O65=""</formula>
    </cfRule>
  </conditionalFormatting>
  <conditionalFormatting sqref="O70">
    <cfRule type="expression" dxfId="663" priority="1521">
      <formula>O70=""</formula>
    </cfRule>
  </conditionalFormatting>
  <conditionalFormatting sqref="O72:O73">
    <cfRule type="expression" dxfId="662" priority="1428">
      <formula>O72=""</formula>
    </cfRule>
  </conditionalFormatting>
  <conditionalFormatting sqref="O76">
    <cfRule type="expression" dxfId="661" priority="1427">
      <formula>O76=""</formula>
    </cfRule>
  </conditionalFormatting>
  <conditionalFormatting sqref="O77">
    <cfRule type="expression" dxfId="660" priority="1084">
      <formula>$O$77=""</formula>
    </cfRule>
  </conditionalFormatting>
  <conditionalFormatting sqref="O24:P24">
    <cfRule type="expression" dxfId="659" priority="92">
      <formula>$E$24&lt;&gt;""</formula>
    </cfRule>
  </conditionalFormatting>
  <conditionalFormatting sqref="O25:P25">
    <cfRule type="expression" dxfId="658" priority="94">
      <formula>$E$25&lt;&gt;""</formula>
    </cfRule>
  </conditionalFormatting>
  <conditionalFormatting sqref="O26:P26">
    <cfRule type="expression" dxfId="657" priority="100">
      <formula>$E$26&lt;&gt;""</formula>
    </cfRule>
  </conditionalFormatting>
  <conditionalFormatting sqref="O17:Q22">
    <cfRule type="expression" dxfId="656" priority="126">
      <formula>O17=""</formula>
    </cfRule>
  </conditionalFormatting>
  <conditionalFormatting sqref="O50:Q50">
    <cfRule type="expression" dxfId="655" priority="29">
      <formula>O50=""</formula>
    </cfRule>
  </conditionalFormatting>
  <conditionalFormatting sqref="O43:Z43">
    <cfRule type="expression" dxfId="653" priority="41">
      <formula>O43=""</formula>
    </cfRule>
  </conditionalFormatting>
  <conditionalFormatting sqref="O45:Z45 AG45:CQ45 O46:CQ46">
    <cfRule type="expression" dxfId="652" priority="1813">
      <formula>O45=0</formula>
    </cfRule>
  </conditionalFormatting>
  <conditionalFormatting sqref="O39:AC40">
    <cfRule type="expression" dxfId="651" priority="35">
      <formula>O39=""</formula>
    </cfRule>
  </conditionalFormatting>
  <conditionalFormatting sqref="Q60:Q61">
    <cfRule type="expression" dxfId="650" priority="733">
      <formula>AND(O60="Yes",Q60&lt;&gt;"")</formula>
    </cfRule>
    <cfRule type="expression" dxfId="649" priority="734">
      <formula>O60="Yes"</formula>
    </cfRule>
  </conditionalFormatting>
  <conditionalFormatting sqref="Q63">
    <cfRule type="expression" dxfId="648" priority="589">
      <formula>AND(O63="Yes",Q63&lt;&gt;"")</formula>
    </cfRule>
    <cfRule type="expression" dxfId="647" priority="590">
      <formula>O63="Yes"</formula>
    </cfRule>
  </conditionalFormatting>
  <conditionalFormatting sqref="Q65">
    <cfRule type="expression" dxfId="646" priority="15">
      <formula>AND(O65="Yes",Q65&lt;&gt;"")</formula>
    </cfRule>
    <cfRule type="expression" dxfId="645" priority="16">
      <formula>O65="Yes"</formula>
    </cfRule>
  </conditionalFormatting>
  <conditionalFormatting sqref="Q66">
    <cfRule type="expression" dxfId="644" priority="502">
      <formula>AND(O66="Yes",Q66&lt;&gt;"")</formula>
    </cfRule>
    <cfRule type="expression" dxfId="643" priority="503">
      <formula>O66="Yes"</formula>
    </cfRule>
  </conditionalFormatting>
  <conditionalFormatting sqref="Q70">
    <cfRule type="expression" dxfId="642" priority="415">
      <formula>AND(O70="Yes",Q70&lt;&gt;"")</formula>
    </cfRule>
    <cfRule type="expression" dxfId="641" priority="416">
      <formula>O70="Yes"</formula>
    </cfRule>
  </conditionalFormatting>
  <conditionalFormatting sqref="Q72 Q74 Q77">
    <cfRule type="expression" dxfId="640" priority="328">
      <formula>AND(O72="Yes",Q72&lt;&gt;"")</formula>
    </cfRule>
    <cfRule type="expression" dxfId="639" priority="329">
      <formula>O72="Yes"</formula>
    </cfRule>
  </conditionalFormatting>
  <conditionalFormatting sqref="Q73">
    <cfRule type="expression" dxfId="638" priority="11">
      <formula>AND(O73="Yes",Q73&lt;&gt;"")</formula>
    </cfRule>
    <cfRule type="expression" dxfId="637" priority="12">
      <formula>O73="Yes"</formula>
    </cfRule>
  </conditionalFormatting>
  <conditionalFormatting sqref="R29">
    <cfRule type="iconSet" priority="782">
      <iconSet iconSet="3Symbols" showValue="0">
        <cfvo type="percent" val="0"/>
        <cfvo type="num" val="0"/>
        <cfvo type="num" val="1"/>
      </iconSet>
    </cfRule>
  </conditionalFormatting>
  <conditionalFormatting sqref="R60:R61">
    <cfRule type="expression" dxfId="636" priority="1632">
      <formula>R60=""</formula>
    </cfRule>
  </conditionalFormatting>
  <conditionalFormatting sqref="R63">
    <cfRule type="expression" dxfId="635" priority="1631">
      <formula>R63=""</formula>
    </cfRule>
  </conditionalFormatting>
  <conditionalFormatting sqref="R65:R66">
    <cfRule type="expression" dxfId="634" priority="1552">
      <formula>R65=""</formula>
    </cfRule>
  </conditionalFormatting>
  <conditionalFormatting sqref="R70">
    <cfRule type="expression" dxfId="633" priority="1519">
      <formula>R70=""</formula>
    </cfRule>
  </conditionalFormatting>
  <conditionalFormatting sqref="R72:R73">
    <cfRule type="expression" dxfId="632" priority="1424">
      <formula>R72=""</formula>
    </cfRule>
  </conditionalFormatting>
  <conditionalFormatting sqref="R76">
    <cfRule type="expression" dxfId="631" priority="1423">
      <formula>R76=""</formula>
    </cfRule>
  </conditionalFormatting>
  <conditionalFormatting sqref="R77">
    <cfRule type="expression" dxfId="630" priority="1082">
      <formula>$R$77=""</formula>
    </cfRule>
  </conditionalFormatting>
  <conditionalFormatting sqref="R24:S24">
    <cfRule type="expression" dxfId="629" priority="90">
      <formula>$E$24&lt;&gt;""</formula>
    </cfRule>
  </conditionalFormatting>
  <conditionalFormatting sqref="R25:S25">
    <cfRule type="expression" dxfId="628" priority="96">
      <formula>$E$25&lt;&gt;""</formula>
    </cfRule>
  </conditionalFormatting>
  <conditionalFormatting sqref="R26:S26">
    <cfRule type="expression" dxfId="627" priority="98">
      <formula>$E$26&lt;&gt;""</formula>
    </cfRule>
  </conditionalFormatting>
  <conditionalFormatting sqref="R21:T21">
    <cfRule type="expression" dxfId="626" priority="117">
      <formula>R21=""</formula>
    </cfRule>
  </conditionalFormatting>
  <conditionalFormatting sqref="R17:W19">
    <cfRule type="expression" dxfId="624" priority="113">
      <formula>R17=""</formula>
    </cfRule>
  </conditionalFormatting>
  <conditionalFormatting sqref="T60">
    <cfRule type="expression" dxfId="623" priority="25">
      <formula>AND(R60="Yes",T60&lt;&gt;"")</formula>
    </cfRule>
    <cfRule type="expression" dxfId="622" priority="26">
      <formula>R60="Yes"</formula>
    </cfRule>
  </conditionalFormatting>
  <conditionalFormatting sqref="T61">
    <cfRule type="expression" dxfId="621" priority="728">
      <formula>AND(R61="Yes",T61&lt;&gt;"")</formula>
    </cfRule>
    <cfRule type="expression" dxfId="620" priority="729">
      <formula>R61="Yes"</formula>
    </cfRule>
  </conditionalFormatting>
  <conditionalFormatting sqref="T63">
    <cfRule type="expression" dxfId="619" priority="586">
      <formula>AND(R63="Yes",T63&lt;&gt;"")</formula>
    </cfRule>
    <cfRule type="expression" dxfId="618" priority="587">
      <formula>R63="Yes"</formula>
    </cfRule>
  </conditionalFormatting>
  <conditionalFormatting sqref="T65">
    <cfRule type="expression" dxfId="617" priority="13">
      <formula>AND(R65="Yes",T65&lt;&gt;"")</formula>
    </cfRule>
    <cfRule type="expression" dxfId="616" priority="14">
      <formula>R65="Yes"</formula>
    </cfRule>
  </conditionalFormatting>
  <conditionalFormatting sqref="T66">
    <cfRule type="expression" dxfId="615" priority="499">
      <formula>AND(R66="Yes",T66&lt;&gt;"")</formula>
    </cfRule>
    <cfRule type="expression" dxfId="614" priority="500">
      <formula>R66="Yes"</formula>
    </cfRule>
  </conditionalFormatting>
  <conditionalFormatting sqref="T70">
    <cfRule type="expression" dxfId="613" priority="412">
      <formula>AND(R70="Yes",T70&lt;&gt;"")</formula>
    </cfRule>
    <cfRule type="expression" dxfId="612" priority="413">
      <formula>R70="Yes"</formula>
    </cfRule>
  </conditionalFormatting>
  <conditionalFormatting sqref="T72:T74">
    <cfRule type="expression" dxfId="611" priority="325">
      <formula>AND(R72="Yes",T72&lt;&gt;"")</formula>
    </cfRule>
    <cfRule type="expression" dxfId="610" priority="326">
      <formula>R72="Yes"</formula>
    </cfRule>
  </conditionalFormatting>
  <conditionalFormatting sqref="T77">
    <cfRule type="expression" dxfId="609" priority="9">
      <formula>AND(R77="Yes",T77&lt;&gt;"")</formula>
    </cfRule>
    <cfRule type="expression" dxfId="608" priority="10">
      <formula>R77="Yes"</formula>
    </cfRule>
  </conditionalFormatting>
  <conditionalFormatting sqref="U29">
    <cfRule type="iconSet" priority="781">
      <iconSet iconSet="3Symbols" showValue="0">
        <cfvo type="percent" val="0"/>
        <cfvo type="num" val="0"/>
        <cfvo type="num" val="1"/>
      </iconSet>
    </cfRule>
  </conditionalFormatting>
  <conditionalFormatting sqref="U60:U61">
    <cfRule type="expression" dxfId="607" priority="1628">
      <formula>U60=""</formula>
    </cfRule>
  </conditionalFormatting>
  <conditionalFormatting sqref="U63">
    <cfRule type="expression" dxfId="606" priority="1551">
      <formula>U63=""</formula>
    </cfRule>
  </conditionalFormatting>
  <conditionalFormatting sqref="U65:U66">
    <cfRule type="expression" dxfId="605" priority="1517">
      <formula>U65=""</formula>
    </cfRule>
  </conditionalFormatting>
  <conditionalFormatting sqref="U70">
    <cfRule type="expression" dxfId="604" priority="1462">
      <formula>U70=""</formula>
    </cfRule>
  </conditionalFormatting>
  <conditionalFormatting sqref="U72:U73">
    <cfRule type="expression" dxfId="603" priority="1419">
      <formula>U72=""</formula>
    </cfRule>
  </conditionalFormatting>
  <conditionalFormatting sqref="U76">
    <cfRule type="expression" dxfId="602" priority="1418">
      <formula>U76=""</formula>
    </cfRule>
  </conditionalFormatting>
  <conditionalFormatting sqref="U77">
    <cfRule type="expression" dxfId="601" priority="1080">
      <formula>$U$77=""</formula>
    </cfRule>
  </conditionalFormatting>
  <conditionalFormatting sqref="U24:V24">
    <cfRule type="expression" dxfId="600" priority="82">
      <formula>$E$24&lt;&gt;""</formula>
    </cfRule>
  </conditionalFormatting>
  <conditionalFormatting sqref="U25:V25">
    <cfRule type="expression" dxfId="599" priority="88">
      <formula>$E$25&lt;&gt;""</formula>
    </cfRule>
  </conditionalFormatting>
  <conditionalFormatting sqref="U26:V26">
    <cfRule type="expression" dxfId="598" priority="86">
      <formula>$E$26&lt;&gt;""</formula>
    </cfRule>
  </conditionalFormatting>
  <conditionalFormatting sqref="U89:W89 AG89:CQ89">
    <cfRule type="expression" dxfId="594" priority="1233">
      <formula>U89=""</formula>
    </cfRule>
  </conditionalFormatting>
  <conditionalFormatting sqref="U50:Z50">
    <cfRule type="expression" dxfId="593" priority="27">
      <formula>U50=""</formula>
    </cfRule>
  </conditionalFormatting>
  <conditionalFormatting sqref="U21:AF22">
    <cfRule type="expression" dxfId="592" priority="118">
      <formula>U21=""</formula>
    </cfRule>
  </conditionalFormatting>
  <conditionalFormatting sqref="W60:W61">
    <cfRule type="expression" dxfId="591" priority="723">
      <formula>AND(U60="Yes",W60&lt;&gt;"")</formula>
    </cfRule>
    <cfRule type="expression" dxfId="590" priority="724">
      <formula>U60="Yes"</formula>
    </cfRule>
  </conditionalFormatting>
  <conditionalFormatting sqref="W63">
    <cfRule type="expression" dxfId="589" priority="583">
      <formula>AND(U63="Yes",W63&lt;&gt;"")</formula>
    </cfRule>
    <cfRule type="expression" dxfId="588" priority="584">
      <formula>U63="Yes"</formula>
    </cfRule>
  </conditionalFormatting>
  <conditionalFormatting sqref="W65">
    <cfRule type="expression" dxfId="587" priority="21">
      <formula>AND(U65="Yes",W65&lt;&gt;"")</formula>
    </cfRule>
    <cfRule type="expression" dxfId="586" priority="22">
      <formula>U65="Yes"</formula>
    </cfRule>
  </conditionalFormatting>
  <conditionalFormatting sqref="W66">
    <cfRule type="expression" dxfId="585" priority="496">
      <formula>AND(U66="Yes",W66&lt;&gt;"")</formula>
    </cfRule>
    <cfRule type="expression" dxfId="584" priority="497">
      <formula>U66="Yes"</formula>
    </cfRule>
  </conditionalFormatting>
  <conditionalFormatting sqref="W70">
    <cfRule type="expression" dxfId="583" priority="409">
      <formula>AND(U70="Yes",W70&lt;&gt;"")</formula>
    </cfRule>
    <cfRule type="expression" dxfId="582" priority="410">
      <formula>U70="Yes"</formula>
    </cfRule>
  </conditionalFormatting>
  <conditionalFormatting sqref="W72:W74 W77">
    <cfRule type="expression" dxfId="581" priority="322">
      <formula>AND(U72="Yes",W72&lt;&gt;"")</formula>
    </cfRule>
    <cfRule type="expression" dxfId="580" priority="323">
      <formula>U72="Yes"</formula>
    </cfRule>
  </conditionalFormatting>
  <conditionalFormatting sqref="X29">
    <cfRule type="iconSet" priority="780">
      <iconSet iconSet="3Symbols" showValue="0">
        <cfvo type="percent" val="0"/>
        <cfvo type="num" val="0"/>
        <cfvo type="num" val="1"/>
      </iconSet>
    </cfRule>
  </conditionalFormatting>
  <conditionalFormatting sqref="X60:X61">
    <cfRule type="expression" dxfId="579" priority="1625">
      <formula>X60=""</formula>
    </cfRule>
  </conditionalFormatting>
  <conditionalFormatting sqref="X63">
    <cfRule type="expression" dxfId="578" priority="1550">
      <formula>X63=""</formula>
    </cfRule>
  </conditionalFormatting>
  <conditionalFormatting sqref="X65:X66">
    <cfRule type="expression" dxfId="577" priority="1515">
      <formula>X65=""</formula>
    </cfRule>
  </conditionalFormatting>
  <conditionalFormatting sqref="X70">
    <cfRule type="expression" dxfId="576" priority="1461">
      <formula>X70=""</formula>
    </cfRule>
  </conditionalFormatting>
  <conditionalFormatting sqref="X72:X73">
    <cfRule type="expression" dxfId="575" priority="1415">
      <formula>X72=""</formula>
    </cfRule>
  </conditionalFormatting>
  <conditionalFormatting sqref="X76">
    <cfRule type="expression" dxfId="574" priority="1414">
      <formula>X76=""</formula>
    </cfRule>
  </conditionalFormatting>
  <conditionalFormatting sqref="X77">
    <cfRule type="expression" dxfId="573" priority="1078">
      <formula>$X$77=""</formula>
    </cfRule>
  </conditionalFormatting>
  <conditionalFormatting sqref="X24:Y24">
    <cfRule type="expression" dxfId="572" priority="78">
      <formula>$E$24&lt;&gt;""</formula>
    </cfRule>
  </conditionalFormatting>
  <conditionalFormatting sqref="X26:Y26">
    <cfRule type="expression" dxfId="571" priority="84">
      <formula>$E$26&lt;&gt;""</formula>
    </cfRule>
  </conditionalFormatting>
  <conditionalFormatting sqref="X17:Z18">
    <cfRule type="expression" dxfId="570" priority="112">
      <formula>X17=""</formula>
    </cfRule>
  </conditionalFormatting>
  <conditionalFormatting sqref="X89:AF89">
    <cfRule type="expression" dxfId="568" priority="1">
      <formula>X89=""</formula>
    </cfRule>
  </conditionalFormatting>
  <conditionalFormatting sqref="Z60:Z61">
    <cfRule type="expression" dxfId="567" priority="718">
      <formula>AND(X60="Yes",Z60&lt;&gt;"")</formula>
    </cfRule>
    <cfRule type="expression" dxfId="566" priority="719">
      <formula>X60="Yes"</formula>
    </cfRule>
  </conditionalFormatting>
  <conditionalFormatting sqref="Z63">
    <cfRule type="expression" dxfId="565" priority="580">
      <formula>AND(X63="Yes",Z63&lt;&gt;"")</formula>
    </cfRule>
    <cfRule type="expression" dxfId="564" priority="581">
      <formula>X63="Yes"</formula>
    </cfRule>
  </conditionalFormatting>
  <conditionalFormatting sqref="Z65">
    <cfRule type="expression" dxfId="563" priority="23">
      <formula>AND(X65="Yes",Z65&lt;&gt;"")</formula>
    </cfRule>
    <cfRule type="expression" dxfId="562" priority="24">
      <formula>X65="Yes"</formula>
    </cfRule>
  </conditionalFormatting>
  <conditionalFormatting sqref="Z66">
    <cfRule type="expression" dxfId="561" priority="493">
      <formula>AND(X66="Yes",Z66&lt;&gt;"")</formula>
    </cfRule>
    <cfRule type="expression" dxfId="560" priority="494">
      <formula>X66="Yes"</formula>
    </cfRule>
  </conditionalFormatting>
  <conditionalFormatting sqref="Z70">
    <cfRule type="expression" dxfId="559" priority="406">
      <formula>AND(X70="Yes",Z70&lt;&gt;"")</formula>
    </cfRule>
    <cfRule type="expression" dxfId="558" priority="407">
      <formula>X70="Yes"</formula>
    </cfRule>
  </conditionalFormatting>
  <conditionalFormatting sqref="Z72:Z74 Z77">
    <cfRule type="expression" dxfId="557" priority="319">
      <formula>AND(X72="Yes",Z72&lt;&gt;"")</formula>
    </cfRule>
    <cfRule type="expression" dxfId="556" priority="320">
      <formula>X72="Yes"</formula>
    </cfRule>
  </conditionalFormatting>
  <conditionalFormatting sqref="AA29">
    <cfRule type="iconSet" priority="779">
      <iconSet iconSet="3Symbols" showValue="0">
        <cfvo type="percent" val="0"/>
        <cfvo type="num" val="0"/>
        <cfvo type="num" val="1"/>
      </iconSet>
    </cfRule>
  </conditionalFormatting>
  <conditionalFormatting sqref="AA60:AA61">
    <cfRule type="expression" dxfId="555" priority="1623">
      <formula>AA60=""</formula>
    </cfRule>
  </conditionalFormatting>
  <conditionalFormatting sqref="AA63">
    <cfRule type="expression" dxfId="554" priority="1622">
      <formula>AA63=""</formula>
    </cfRule>
  </conditionalFormatting>
  <conditionalFormatting sqref="AA65:AA66">
    <cfRule type="expression" dxfId="553" priority="1549">
      <formula>AA65=""</formula>
    </cfRule>
  </conditionalFormatting>
  <conditionalFormatting sqref="AA70">
    <cfRule type="expression" dxfId="552" priority="1513">
      <formula>AA70=""</formula>
    </cfRule>
  </conditionalFormatting>
  <conditionalFormatting sqref="AA72:AA73">
    <cfRule type="expression" dxfId="551" priority="1412">
      <formula>AA72=""</formula>
    </cfRule>
  </conditionalFormatting>
  <conditionalFormatting sqref="AA76">
    <cfRule type="expression" dxfId="550" priority="1411">
      <formula>AA76=""</formula>
    </cfRule>
  </conditionalFormatting>
  <conditionalFormatting sqref="AA77">
    <cfRule type="expression" dxfId="549" priority="1076">
      <formula>$AA$77=""</formula>
    </cfRule>
  </conditionalFormatting>
  <conditionalFormatting sqref="AA24:AB24">
    <cfRule type="expression" dxfId="548" priority="72">
      <formula>$E$24&lt;&gt;""</formula>
    </cfRule>
  </conditionalFormatting>
  <conditionalFormatting sqref="AA26:AB26">
    <cfRule type="expression" dxfId="547" priority="76">
      <formula>$E$26&lt;&gt;""</formula>
    </cfRule>
  </conditionalFormatting>
  <conditionalFormatting sqref="AA16:AF20">
    <cfRule type="expression" dxfId="545" priority="101">
      <formula>AA16=""</formula>
    </cfRule>
  </conditionalFormatting>
  <conditionalFormatting sqref="AA45:AF45">
    <cfRule type="expression" dxfId="544" priority="30">
      <formula>AA45=""</formula>
    </cfRule>
    <cfRule type="expression" dxfId="543" priority="31">
      <formula>AA45=0</formula>
    </cfRule>
  </conditionalFormatting>
  <conditionalFormatting sqref="AC60:AC61">
    <cfRule type="expression" dxfId="542" priority="713">
      <formula>AND(AA60="Yes",AC60&lt;&gt;"")</formula>
    </cfRule>
    <cfRule type="expression" dxfId="541" priority="714">
      <formula>AA60="Yes"</formula>
    </cfRule>
  </conditionalFormatting>
  <conditionalFormatting sqref="AC63">
    <cfRule type="expression" dxfId="540" priority="577">
      <formula>AND(AA63="Yes",AC63&lt;&gt;"")</formula>
    </cfRule>
    <cfRule type="expression" dxfId="539" priority="578">
      <formula>AA63="Yes"</formula>
    </cfRule>
  </conditionalFormatting>
  <conditionalFormatting sqref="AC65">
    <cfRule type="expression" dxfId="538" priority="19">
      <formula>AND(AA65="Yes",AC65&lt;&gt;"")</formula>
    </cfRule>
    <cfRule type="expression" dxfId="537" priority="20">
      <formula>AA65="Yes"</formula>
    </cfRule>
  </conditionalFormatting>
  <conditionalFormatting sqref="AC66">
    <cfRule type="expression" dxfId="536" priority="490">
      <formula>AND(AA66="Yes",AC66&lt;&gt;"")</formula>
    </cfRule>
    <cfRule type="expression" dxfId="535" priority="491">
      <formula>AA66="Yes"</formula>
    </cfRule>
  </conditionalFormatting>
  <conditionalFormatting sqref="AC70">
    <cfRule type="expression" dxfId="534" priority="403">
      <formula>AND(AA70="Yes",AC70&lt;&gt;"")</formula>
    </cfRule>
    <cfRule type="expression" dxfId="533" priority="404">
      <formula>AA70="Yes"</formula>
    </cfRule>
  </conditionalFormatting>
  <conditionalFormatting sqref="AC72:AC74 AC77">
    <cfRule type="expression" dxfId="532" priority="316">
      <formula>AND(AA72="Yes",AC72&lt;&gt;"")</formula>
    </cfRule>
    <cfRule type="expression" dxfId="531" priority="317">
      <formula>AA72="Yes"</formula>
    </cfRule>
  </conditionalFormatting>
  <conditionalFormatting sqref="AD29">
    <cfRule type="iconSet" priority="778">
      <iconSet iconSet="3Symbols" showValue="0">
        <cfvo type="percent" val="0"/>
        <cfvo type="num" val="0"/>
        <cfvo type="num" val="1"/>
      </iconSet>
    </cfRule>
  </conditionalFormatting>
  <conditionalFormatting sqref="AD60:AD61">
    <cfRule type="expression" dxfId="530" priority="1620">
      <formula>AD60=""</formula>
    </cfRule>
  </conditionalFormatting>
  <conditionalFormatting sqref="AD63">
    <cfRule type="expression" dxfId="529" priority="1619">
      <formula>AD63=""</formula>
    </cfRule>
  </conditionalFormatting>
  <conditionalFormatting sqref="AD65:AD66">
    <cfRule type="expression" dxfId="528" priority="1548">
      <formula>AD65=""</formula>
    </cfRule>
  </conditionalFormatting>
  <conditionalFormatting sqref="AD70">
    <cfRule type="expression" dxfId="527" priority="1511">
      <formula>AD70=""</formula>
    </cfRule>
  </conditionalFormatting>
  <conditionalFormatting sqref="AD72:AD73">
    <cfRule type="expression" dxfId="526" priority="1408">
      <formula>AD72=""</formula>
    </cfRule>
  </conditionalFormatting>
  <conditionalFormatting sqref="AD76">
    <cfRule type="expression" dxfId="525" priority="1407">
      <formula>AD76=""</formula>
    </cfRule>
  </conditionalFormatting>
  <conditionalFormatting sqref="AD77">
    <cfRule type="expression" dxfId="524" priority="1074">
      <formula>$AD$77=""</formula>
    </cfRule>
  </conditionalFormatting>
  <conditionalFormatting sqref="AD24:AE24">
    <cfRule type="expression" dxfId="523" priority="70">
      <formula>$E$24&lt;&gt;""</formula>
    </cfRule>
  </conditionalFormatting>
  <conditionalFormatting sqref="AD26:AE26">
    <cfRule type="expression" dxfId="522" priority="74">
      <formula>$E$26&lt;&gt;""</formula>
    </cfRule>
  </conditionalFormatting>
  <conditionalFormatting sqref="AD39:AF39">
    <cfRule type="expression" dxfId="521" priority="34">
      <formula>AD39=""</formula>
    </cfRule>
  </conditionalFormatting>
  <conditionalFormatting sqref="AD84:AF84">
    <cfRule type="expression" dxfId="520" priority="6">
      <formula>AD84=""</formula>
    </cfRule>
  </conditionalFormatting>
  <conditionalFormatting sqref="AF60:AF61">
    <cfRule type="expression" dxfId="518" priority="708">
      <formula>AND(AD60="Yes",AF60&lt;&gt;"")</formula>
    </cfRule>
    <cfRule type="expression" dxfId="517" priority="709">
      <formula>AD60="Yes"</formula>
    </cfRule>
  </conditionalFormatting>
  <conditionalFormatting sqref="AF63">
    <cfRule type="expression" dxfId="516" priority="574">
      <formula>AND(AD63="Yes",AF63&lt;&gt;"")</formula>
    </cfRule>
    <cfRule type="expression" dxfId="515" priority="575">
      <formula>AD63="Yes"</formula>
    </cfRule>
  </conditionalFormatting>
  <conditionalFormatting sqref="AF65">
    <cfRule type="expression" dxfId="514" priority="17">
      <formula>AND(AD65="Yes",AF65&lt;&gt;"")</formula>
    </cfRule>
    <cfRule type="expression" dxfId="513" priority="18">
      <formula>AD65="Yes"</formula>
    </cfRule>
  </conditionalFormatting>
  <conditionalFormatting sqref="AF66">
    <cfRule type="expression" dxfId="512" priority="487">
      <formula>AND(AD66="Yes",AF66&lt;&gt;"")</formula>
    </cfRule>
    <cfRule type="expression" dxfId="511" priority="488">
      <formula>AD66="Yes"</formula>
    </cfRule>
  </conditionalFormatting>
  <conditionalFormatting sqref="AF70">
    <cfRule type="expression" dxfId="510" priority="400">
      <formula>AND(AD70="Yes",AF70&lt;&gt;"")</formula>
    </cfRule>
    <cfRule type="expression" dxfId="509" priority="401">
      <formula>AD70="Yes"</formula>
    </cfRule>
  </conditionalFormatting>
  <conditionalFormatting sqref="AF72 AF74 AF77">
    <cfRule type="expression" dxfId="508" priority="313">
      <formula>AND(AD72="Yes",AF72&lt;&gt;"")</formula>
    </cfRule>
    <cfRule type="expression" dxfId="507" priority="314">
      <formula>AD72="Yes"</formula>
    </cfRule>
  </conditionalFormatting>
  <conditionalFormatting sqref="AF73">
    <cfRule type="expression" dxfId="506" priority="7">
      <formula>AND(AD73="Yes",AF73&lt;&gt;"")</formula>
    </cfRule>
    <cfRule type="expression" dxfId="505" priority="8">
      <formula>AD73="Yes"</formula>
    </cfRule>
  </conditionalFormatting>
  <conditionalFormatting sqref="AG29">
    <cfRule type="iconSet" priority="777">
      <iconSet iconSet="3Symbols" showValue="0">
        <cfvo type="percent" val="0"/>
        <cfvo type="num" val="0"/>
        <cfvo type="num" val="1"/>
      </iconSet>
    </cfRule>
  </conditionalFormatting>
  <conditionalFormatting sqref="AG60:AG61">
    <cfRule type="expression" dxfId="504" priority="1617">
      <formula>AG60=""</formula>
    </cfRule>
  </conditionalFormatting>
  <conditionalFormatting sqref="AG63">
    <cfRule type="expression" dxfId="503" priority="1616">
      <formula>AG63=""</formula>
    </cfRule>
  </conditionalFormatting>
  <conditionalFormatting sqref="AG65:AG66">
    <cfRule type="expression" dxfId="502" priority="1547">
      <formula>AG65=""</formula>
    </cfRule>
  </conditionalFormatting>
  <conditionalFormatting sqref="AG70">
    <cfRule type="expression" dxfId="501" priority="1509">
      <formula>AG70=""</formula>
    </cfRule>
  </conditionalFormatting>
  <conditionalFormatting sqref="AG72:AG73">
    <cfRule type="expression" dxfId="500" priority="1404">
      <formula>AG72=""</formula>
    </cfRule>
  </conditionalFormatting>
  <conditionalFormatting sqref="AG76">
    <cfRule type="expression" dxfId="499" priority="1403">
      <formula>AG76=""</formula>
    </cfRule>
  </conditionalFormatting>
  <conditionalFormatting sqref="AG77">
    <cfRule type="expression" dxfId="498" priority="1072">
      <formula>$AG$77=""</formula>
    </cfRule>
  </conditionalFormatting>
  <conditionalFormatting sqref="AI60:AI61">
    <cfRule type="expression" dxfId="496" priority="703">
      <formula>AND(AG60="Yes",AI60&lt;&gt;"")</formula>
    </cfRule>
    <cfRule type="expression" dxfId="495" priority="704">
      <formula>AG60="Yes"</formula>
    </cfRule>
  </conditionalFormatting>
  <conditionalFormatting sqref="AI63">
    <cfRule type="expression" dxfId="494" priority="571">
      <formula>AND(AG63="Yes",AI63&lt;&gt;"")</formula>
    </cfRule>
    <cfRule type="expression" dxfId="493" priority="572">
      <formula>AG63="Yes"</formula>
    </cfRule>
  </conditionalFormatting>
  <conditionalFormatting sqref="AI65:AI66">
    <cfRule type="expression" dxfId="492" priority="484">
      <formula>AND(AG65="Yes",AI65&lt;&gt;"")</formula>
    </cfRule>
    <cfRule type="expression" dxfId="491" priority="485">
      <formula>AG65="Yes"</formula>
    </cfRule>
  </conditionalFormatting>
  <conditionalFormatting sqref="AI70">
    <cfRule type="expression" dxfId="490" priority="397">
      <formula>AND(AG70="Yes",AI70&lt;&gt;"")</formula>
    </cfRule>
    <cfRule type="expression" dxfId="489" priority="398">
      <formula>AG70="Yes"</formula>
    </cfRule>
  </conditionalFormatting>
  <conditionalFormatting sqref="AI72:AI74 AI77">
    <cfRule type="expression" dxfId="488" priority="310">
      <formula>AND(AG72="Yes",AI72&lt;&gt;"")</formula>
    </cfRule>
    <cfRule type="expression" dxfId="487" priority="311">
      <formula>AG72="Yes"</formula>
    </cfRule>
  </conditionalFormatting>
  <conditionalFormatting sqref="AJ29">
    <cfRule type="iconSet" priority="776">
      <iconSet iconSet="3Symbols" showValue="0">
        <cfvo type="percent" val="0"/>
        <cfvo type="num" val="0"/>
        <cfvo type="num" val="1"/>
      </iconSet>
    </cfRule>
  </conditionalFormatting>
  <conditionalFormatting sqref="AJ60:AJ61">
    <cfRule type="expression" dxfId="486" priority="1614">
      <formula>AJ60=""</formula>
    </cfRule>
  </conditionalFormatting>
  <conditionalFormatting sqref="AJ63">
    <cfRule type="expression" dxfId="485" priority="1613">
      <formula>AJ63=""</formula>
    </cfRule>
  </conditionalFormatting>
  <conditionalFormatting sqref="AJ65:AJ66">
    <cfRule type="expression" dxfId="484" priority="1546">
      <formula>AJ65=""</formula>
    </cfRule>
  </conditionalFormatting>
  <conditionalFormatting sqref="AJ70">
    <cfRule type="expression" dxfId="483" priority="1507">
      <formula>AJ70=""</formula>
    </cfRule>
  </conditionalFormatting>
  <conditionalFormatting sqref="AJ72:AJ73">
    <cfRule type="expression" dxfId="482" priority="1400">
      <formula>AJ72=""</formula>
    </cfRule>
  </conditionalFormatting>
  <conditionalFormatting sqref="AJ76">
    <cfRule type="expression" dxfId="481" priority="1399">
      <formula>AJ76=""</formula>
    </cfRule>
  </conditionalFormatting>
  <conditionalFormatting sqref="AJ77">
    <cfRule type="expression" dxfId="480" priority="1070">
      <formula>$AJ$77=""</formula>
    </cfRule>
  </conditionalFormatting>
  <conditionalFormatting sqref="AL60:AL61">
    <cfRule type="expression" dxfId="478" priority="693">
      <formula>AND(AJ60="Yes",AL60&lt;&gt;"")</formula>
    </cfRule>
    <cfRule type="expression" dxfId="477" priority="694">
      <formula>AJ60="Yes"</formula>
    </cfRule>
  </conditionalFormatting>
  <conditionalFormatting sqref="AL63">
    <cfRule type="expression" dxfId="476" priority="568">
      <formula>AND(AJ63="Yes",AL63&lt;&gt;"")</formula>
    </cfRule>
    <cfRule type="expression" dxfId="475" priority="569">
      <formula>AJ63="Yes"</formula>
    </cfRule>
  </conditionalFormatting>
  <conditionalFormatting sqref="AL65:AL66">
    <cfRule type="expression" dxfId="474" priority="481">
      <formula>AND(AJ65="Yes",AL65&lt;&gt;"")</formula>
    </cfRule>
    <cfRule type="expression" dxfId="473" priority="482">
      <formula>AJ65="Yes"</formula>
    </cfRule>
  </conditionalFormatting>
  <conditionalFormatting sqref="AL70">
    <cfRule type="expression" dxfId="472" priority="394">
      <formula>AND(AJ70="Yes",AL70&lt;&gt;"")</formula>
    </cfRule>
    <cfRule type="expression" dxfId="471" priority="395">
      <formula>AJ70="Yes"</formula>
    </cfRule>
  </conditionalFormatting>
  <conditionalFormatting sqref="AL72:AL74 AL77">
    <cfRule type="expression" dxfId="470" priority="307">
      <formula>AND(AJ72="Yes",AL72&lt;&gt;"")</formula>
    </cfRule>
    <cfRule type="expression" dxfId="469" priority="308">
      <formula>AJ72="Yes"</formula>
    </cfRule>
  </conditionalFormatting>
  <conditionalFormatting sqref="AM29">
    <cfRule type="iconSet" priority="775">
      <iconSet iconSet="3Symbols" showValue="0">
        <cfvo type="percent" val="0"/>
        <cfvo type="num" val="0"/>
        <cfvo type="num" val="1"/>
      </iconSet>
    </cfRule>
  </conditionalFormatting>
  <conditionalFormatting sqref="AM60:AM61">
    <cfRule type="expression" dxfId="468" priority="1611">
      <formula>AM60=""</formula>
    </cfRule>
  </conditionalFormatting>
  <conditionalFormatting sqref="AM63">
    <cfRule type="expression" dxfId="467" priority="1610">
      <formula>AM63=""</formula>
    </cfRule>
  </conditionalFormatting>
  <conditionalFormatting sqref="AM65:AM66">
    <cfRule type="expression" dxfId="466" priority="1545">
      <formula>AM65=""</formula>
    </cfRule>
  </conditionalFormatting>
  <conditionalFormatting sqref="AM70">
    <cfRule type="expression" dxfId="465" priority="1505">
      <formula>AM70=""</formula>
    </cfRule>
  </conditionalFormatting>
  <conditionalFormatting sqref="AM72:AM73">
    <cfRule type="expression" dxfId="464" priority="1396">
      <formula>AM72=""</formula>
    </cfRule>
  </conditionalFormatting>
  <conditionalFormatting sqref="AM76">
    <cfRule type="expression" dxfId="463" priority="1395">
      <formula>AM76=""</formula>
    </cfRule>
  </conditionalFormatting>
  <conditionalFormatting sqref="AM77">
    <cfRule type="expression" dxfId="462" priority="1068">
      <formula>$AM$77=""</formula>
    </cfRule>
  </conditionalFormatting>
  <conditionalFormatting sqref="AO60:AO61">
    <cfRule type="expression" dxfId="460" priority="688">
      <formula>AND(AM60="Yes",AO60&lt;&gt;"")</formula>
    </cfRule>
    <cfRule type="expression" dxfId="459" priority="689">
      <formula>AM60="Yes"</formula>
    </cfRule>
  </conditionalFormatting>
  <conditionalFormatting sqref="AO63">
    <cfRule type="expression" dxfId="458" priority="565">
      <formula>AND(AM63="Yes",AO63&lt;&gt;"")</formula>
    </cfRule>
    <cfRule type="expression" dxfId="457" priority="566">
      <formula>AM63="Yes"</formula>
    </cfRule>
  </conditionalFormatting>
  <conditionalFormatting sqref="AO65:AO66">
    <cfRule type="expression" dxfId="456" priority="478">
      <formula>AND(AM65="Yes",AO65&lt;&gt;"")</formula>
    </cfRule>
    <cfRule type="expression" dxfId="455" priority="479">
      <formula>AM65="Yes"</formula>
    </cfRule>
  </conditionalFormatting>
  <conditionalFormatting sqref="AO70">
    <cfRule type="expression" dxfId="454" priority="391">
      <formula>AND(AM70="Yes",AO70&lt;&gt;"")</formula>
    </cfRule>
    <cfRule type="expression" dxfId="453" priority="392">
      <formula>AM70="Yes"</formula>
    </cfRule>
  </conditionalFormatting>
  <conditionalFormatting sqref="AO72:AO74 AO77">
    <cfRule type="expression" dxfId="452" priority="304">
      <formula>AND(AM72="Yes",AO72&lt;&gt;"")</formula>
    </cfRule>
    <cfRule type="expression" dxfId="451" priority="305">
      <formula>AM72="Yes"</formula>
    </cfRule>
  </conditionalFormatting>
  <conditionalFormatting sqref="AP29">
    <cfRule type="iconSet" priority="774">
      <iconSet iconSet="3Symbols" showValue="0">
        <cfvo type="percent" val="0"/>
        <cfvo type="num" val="0"/>
        <cfvo type="num" val="1"/>
      </iconSet>
    </cfRule>
  </conditionalFormatting>
  <conditionalFormatting sqref="AP60:AP61">
    <cfRule type="expression" dxfId="450" priority="1608">
      <formula>AP60=""</formula>
    </cfRule>
  </conditionalFormatting>
  <conditionalFormatting sqref="AP63">
    <cfRule type="expression" dxfId="449" priority="1607">
      <formula>AP63=""</formula>
    </cfRule>
  </conditionalFormatting>
  <conditionalFormatting sqref="AP65:AP66">
    <cfRule type="expression" dxfId="448" priority="1544">
      <formula>AP65=""</formula>
    </cfRule>
  </conditionalFormatting>
  <conditionalFormatting sqref="AP70">
    <cfRule type="expression" dxfId="447" priority="1501">
      <formula>AP70=""</formula>
    </cfRule>
  </conditionalFormatting>
  <conditionalFormatting sqref="AP72:AP73">
    <cfRule type="expression" dxfId="446" priority="1392">
      <formula>AP72=""</formula>
    </cfRule>
  </conditionalFormatting>
  <conditionalFormatting sqref="AP76">
    <cfRule type="expression" dxfId="445" priority="1391">
      <formula>AP76=""</formula>
    </cfRule>
  </conditionalFormatting>
  <conditionalFormatting sqref="AP77">
    <cfRule type="expression" dxfId="444" priority="1064">
      <formula>$AP$77=""</formula>
    </cfRule>
  </conditionalFormatting>
  <conditionalFormatting sqref="AR60:AR61">
    <cfRule type="expression" dxfId="442" priority="683">
      <formula>AND(AP60="Yes",AR60&lt;&gt;"")</formula>
    </cfRule>
    <cfRule type="expression" dxfId="441" priority="684">
      <formula>AP60="Yes"</formula>
    </cfRule>
  </conditionalFormatting>
  <conditionalFormatting sqref="AR63">
    <cfRule type="expression" dxfId="440" priority="562">
      <formula>AND(AP63="Yes",AR63&lt;&gt;"")</formula>
    </cfRule>
    <cfRule type="expression" dxfId="439" priority="563">
      <formula>AP63="Yes"</formula>
    </cfRule>
  </conditionalFormatting>
  <conditionalFormatting sqref="AR65:AR66">
    <cfRule type="expression" dxfId="438" priority="475">
      <formula>AND(AP65="Yes",AR65&lt;&gt;"")</formula>
    </cfRule>
    <cfRule type="expression" dxfId="437" priority="476">
      <formula>AP65="Yes"</formula>
    </cfRule>
  </conditionalFormatting>
  <conditionalFormatting sqref="AR70">
    <cfRule type="expression" dxfId="436" priority="388">
      <formula>AND(AP70="Yes",AR70&lt;&gt;"")</formula>
    </cfRule>
    <cfRule type="expression" dxfId="435" priority="389">
      <formula>AP70="Yes"</formula>
    </cfRule>
  </conditionalFormatting>
  <conditionalFormatting sqref="AR72:AR74 AR77">
    <cfRule type="expression" dxfId="434" priority="301">
      <formula>AND(AP72="Yes",AR72&lt;&gt;"")</formula>
    </cfRule>
    <cfRule type="expression" dxfId="433" priority="302">
      <formula>AP72="Yes"</formula>
    </cfRule>
  </conditionalFormatting>
  <conditionalFormatting sqref="AS29">
    <cfRule type="iconSet" priority="773">
      <iconSet iconSet="3Symbols" showValue="0">
        <cfvo type="percent" val="0"/>
        <cfvo type="num" val="0"/>
        <cfvo type="num" val="1"/>
      </iconSet>
    </cfRule>
  </conditionalFormatting>
  <conditionalFormatting sqref="AS60:AS61">
    <cfRule type="expression" dxfId="432" priority="1605">
      <formula>AS60=""</formula>
    </cfRule>
  </conditionalFormatting>
  <conditionalFormatting sqref="AS63">
    <cfRule type="expression" dxfId="431" priority="1604">
      <formula>AS63=""</formula>
    </cfRule>
  </conditionalFormatting>
  <conditionalFormatting sqref="AS65:AS66">
    <cfRule type="expression" dxfId="430" priority="1543">
      <formula>AS65=""</formula>
    </cfRule>
  </conditionalFormatting>
  <conditionalFormatting sqref="AS70">
    <cfRule type="expression" dxfId="429" priority="1499">
      <formula>AS70=""</formula>
    </cfRule>
  </conditionalFormatting>
  <conditionalFormatting sqref="AS72:AS73">
    <cfRule type="expression" dxfId="428" priority="1388">
      <formula>AS72=""</formula>
    </cfRule>
  </conditionalFormatting>
  <conditionalFormatting sqref="AS76">
    <cfRule type="expression" dxfId="427" priority="1387">
      <formula>AS76=""</formula>
    </cfRule>
  </conditionalFormatting>
  <conditionalFormatting sqref="AS77">
    <cfRule type="expression" dxfId="426" priority="1062">
      <formula>$AS$77=""</formula>
    </cfRule>
  </conditionalFormatting>
  <conditionalFormatting sqref="AU60:AU61">
    <cfRule type="expression" dxfId="424" priority="678">
      <formula>AND(AS60="Yes",AU60&lt;&gt;"")</formula>
    </cfRule>
    <cfRule type="expression" dxfId="423" priority="679">
      <formula>AS60="Yes"</formula>
    </cfRule>
  </conditionalFormatting>
  <conditionalFormatting sqref="AU63">
    <cfRule type="expression" dxfId="422" priority="559">
      <formula>AND(AS63="Yes",AU63&lt;&gt;"")</formula>
    </cfRule>
    <cfRule type="expression" dxfId="421" priority="560">
      <formula>AS63="Yes"</formula>
    </cfRule>
  </conditionalFormatting>
  <conditionalFormatting sqref="AU65:AU66">
    <cfRule type="expression" dxfId="420" priority="472">
      <formula>AND(AS65="Yes",AU65&lt;&gt;"")</formula>
    </cfRule>
    <cfRule type="expression" dxfId="419" priority="473">
      <formula>AS65="Yes"</formula>
    </cfRule>
  </conditionalFormatting>
  <conditionalFormatting sqref="AU70">
    <cfRule type="expression" dxfId="418" priority="385">
      <formula>AND(AS70="Yes",AU70&lt;&gt;"")</formula>
    </cfRule>
    <cfRule type="expression" dxfId="417" priority="386">
      <formula>AS70="Yes"</formula>
    </cfRule>
  </conditionalFormatting>
  <conditionalFormatting sqref="AU72:AU74 AU77">
    <cfRule type="expression" dxfId="416" priority="298">
      <formula>AND(AS72="Yes",AU72&lt;&gt;"")</formula>
    </cfRule>
    <cfRule type="expression" dxfId="415" priority="299">
      <formula>AS72="Yes"</formula>
    </cfRule>
  </conditionalFormatting>
  <conditionalFormatting sqref="AV29">
    <cfRule type="iconSet" priority="772">
      <iconSet iconSet="3Symbols" showValue="0">
        <cfvo type="percent" val="0"/>
        <cfvo type="num" val="0"/>
        <cfvo type="num" val="1"/>
      </iconSet>
    </cfRule>
  </conditionalFormatting>
  <conditionalFormatting sqref="AV60:AV61">
    <cfRule type="expression" dxfId="414" priority="1602">
      <formula>AV60=""</formula>
    </cfRule>
  </conditionalFormatting>
  <conditionalFormatting sqref="AV63">
    <cfRule type="expression" dxfId="413" priority="1601">
      <formula>AV63=""</formula>
    </cfRule>
  </conditionalFormatting>
  <conditionalFormatting sqref="AV65:AV66">
    <cfRule type="expression" dxfId="412" priority="1542">
      <formula>AV65=""</formula>
    </cfRule>
  </conditionalFormatting>
  <conditionalFormatting sqref="AV70">
    <cfRule type="expression" dxfId="411" priority="1497">
      <formula>AV70=""</formula>
    </cfRule>
  </conditionalFormatting>
  <conditionalFormatting sqref="AV72:AV73">
    <cfRule type="expression" dxfId="410" priority="1384">
      <formula>AV72=""</formula>
    </cfRule>
  </conditionalFormatting>
  <conditionalFormatting sqref="AV76">
    <cfRule type="expression" dxfId="409" priority="1383">
      <formula>AV76=""</formula>
    </cfRule>
  </conditionalFormatting>
  <conditionalFormatting sqref="AV77">
    <cfRule type="expression" dxfId="408" priority="1060">
      <formula>$AV$77=""</formula>
    </cfRule>
  </conditionalFormatting>
  <conditionalFormatting sqref="AX60:AX61">
    <cfRule type="expression" dxfId="406" priority="673">
      <formula>AND(AV60="Yes",AX60&lt;&gt;"")</formula>
    </cfRule>
    <cfRule type="expression" dxfId="405" priority="674">
      <formula>AV60="Yes"</formula>
    </cfRule>
  </conditionalFormatting>
  <conditionalFormatting sqref="AX63">
    <cfRule type="expression" dxfId="404" priority="556">
      <formula>AND(AV63="Yes",AX63&lt;&gt;"")</formula>
    </cfRule>
    <cfRule type="expression" dxfId="403" priority="557">
      <formula>AV63="Yes"</formula>
    </cfRule>
  </conditionalFormatting>
  <conditionalFormatting sqref="AX65:AX66">
    <cfRule type="expression" dxfId="402" priority="469">
      <formula>AND(AV65="Yes",AX65&lt;&gt;"")</formula>
    </cfRule>
    <cfRule type="expression" dxfId="401" priority="470">
      <formula>AV65="Yes"</formula>
    </cfRule>
  </conditionalFormatting>
  <conditionalFormatting sqref="AX70">
    <cfRule type="expression" dxfId="400" priority="382">
      <formula>AND(AV70="Yes",AX70&lt;&gt;"")</formula>
    </cfRule>
    <cfRule type="expression" dxfId="399" priority="383">
      <formula>AV70="Yes"</formula>
    </cfRule>
  </conditionalFormatting>
  <conditionalFormatting sqref="AX72:AX74 AX77">
    <cfRule type="expression" dxfId="398" priority="295">
      <formula>AND(AV72="Yes",AX72&lt;&gt;"")</formula>
    </cfRule>
    <cfRule type="expression" dxfId="397" priority="296">
      <formula>AV72="Yes"</formula>
    </cfRule>
  </conditionalFormatting>
  <conditionalFormatting sqref="AY29">
    <cfRule type="iconSet" priority="771">
      <iconSet iconSet="3Symbols" showValue="0">
        <cfvo type="percent" val="0"/>
        <cfvo type="num" val="0"/>
        <cfvo type="num" val="1"/>
      </iconSet>
    </cfRule>
  </conditionalFormatting>
  <conditionalFormatting sqref="AY60:AY61">
    <cfRule type="expression" dxfId="396" priority="1599">
      <formula>AY60=""</formula>
    </cfRule>
  </conditionalFormatting>
  <conditionalFormatting sqref="AY63">
    <cfRule type="expression" dxfId="395" priority="1598">
      <formula>AY63=""</formula>
    </cfRule>
  </conditionalFormatting>
  <conditionalFormatting sqref="AY65:AY66">
    <cfRule type="expression" dxfId="394" priority="1541">
      <formula>AY65=""</formula>
    </cfRule>
  </conditionalFormatting>
  <conditionalFormatting sqref="AY70">
    <cfRule type="expression" dxfId="393" priority="1495">
      <formula>AY70=""</formula>
    </cfRule>
  </conditionalFormatting>
  <conditionalFormatting sqref="AY72:AY73">
    <cfRule type="expression" dxfId="392" priority="1380">
      <formula>AY72=""</formula>
    </cfRule>
  </conditionalFormatting>
  <conditionalFormatting sqref="AY76">
    <cfRule type="expression" dxfId="391" priority="1379">
      <formula>AY76=""</formula>
    </cfRule>
  </conditionalFormatting>
  <conditionalFormatting sqref="AY77">
    <cfRule type="expression" dxfId="390" priority="1058">
      <formula>$AY$77=""</formula>
    </cfRule>
  </conditionalFormatting>
  <conditionalFormatting sqref="BA60:BA61">
    <cfRule type="expression" dxfId="388" priority="668">
      <formula>AND(AY60="Yes",BA60&lt;&gt;"")</formula>
    </cfRule>
    <cfRule type="expression" dxfId="387" priority="669">
      <formula>AY60="Yes"</formula>
    </cfRule>
  </conditionalFormatting>
  <conditionalFormatting sqref="BA63">
    <cfRule type="expression" dxfId="386" priority="553">
      <formula>AND(AY63="Yes",BA63&lt;&gt;"")</formula>
    </cfRule>
    <cfRule type="expression" dxfId="385" priority="554">
      <formula>AY63="Yes"</formula>
    </cfRule>
  </conditionalFormatting>
  <conditionalFormatting sqref="BA65:BA66">
    <cfRule type="expression" dxfId="384" priority="466">
      <formula>AND(AY65="Yes",BA65&lt;&gt;"")</formula>
    </cfRule>
    <cfRule type="expression" dxfId="383" priority="467">
      <formula>AY65="Yes"</formula>
    </cfRule>
  </conditionalFormatting>
  <conditionalFormatting sqref="BA70">
    <cfRule type="expression" dxfId="382" priority="379">
      <formula>AND(AY70="Yes",BA70&lt;&gt;"")</formula>
    </cfRule>
    <cfRule type="expression" dxfId="381" priority="380">
      <formula>AY70="Yes"</formula>
    </cfRule>
  </conditionalFormatting>
  <conditionalFormatting sqref="BA72:BA74 BA77">
    <cfRule type="expression" dxfId="380" priority="292">
      <formula>AND(AY72="Yes",BA72&lt;&gt;"")</formula>
    </cfRule>
    <cfRule type="expression" dxfId="379" priority="293">
      <formula>AY72="Yes"</formula>
    </cfRule>
  </conditionalFormatting>
  <conditionalFormatting sqref="BB29">
    <cfRule type="iconSet" priority="770">
      <iconSet iconSet="3Symbols" showValue="0">
        <cfvo type="percent" val="0"/>
        <cfvo type="num" val="0"/>
        <cfvo type="num" val="1"/>
      </iconSet>
    </cfRule>
  </conditionalFormatting>
  <conditionalFormatting sqref="BB60:BB61">
    <cfRule type="expression" dxfId="378" priority="1596">
      <formula>BB60=""</formula>
    </cfRule>
  </conditionalFormatting>
  <conditionalFormatting sqref="BB63">
    <cfRule type="expression" dxfId="377" priority="1595">
      <formula>BB63=""</formula>
    </cfRule>
  </conditionalFormatting>
  <conditionalFormatting sqref="BB65:BB66">
    <cfRule type="expression" dxfId="376" priority="1540">
      <formula>BB65=""</formula>
    </cfRule>
  </conditionalFormatting>
  <conditionalFormatting sqref="BB70">
    <cfRule type="expression" dxfId="375" priority="1493">
      <formula>BB70=""</formula>
    </cfRule>
  </conditionalFormatting>
  <conditionalFormatting sqref="BB72:BB73">
    <cfRule type="expression" dxfId="374" priority="1376">
      <formula>BB72=""</formula>
    </cfRule>
  </conditionalFormatting>
  <conditionalFormatting sqref="BB76">
    <cfRule type="expression" dxfId="373" priority="1375">
      <formula>BB76=""</formula>
    </cfRule>
  </conditionalFormatting>
  <conditionalFormatting sqref="BB77">
    <cfRule type="expression" dxfId="372" priority="1056">
      <formula>$BB$77=""</formula>
    </cfRule>
  </conditionalFormatting>
  <conditionalFormatting sqref="BD60:BD61">
    <cfRule type="expression" dxfId="370" priority="663">
      <formula>AND(BB60="Yes",BD60&lt;&gt;"")</formula>
    </cfRule>
    <cfRule type="expression" dxfId="369" priority="664">
      <formula>BB60="Yes"</formula>
    </cfRule>
  </conditionalFormatting>
  <conditionalFormatting sqref="BD63">
    <cfRule type="expression" dxfId="368" priority="550">
      <formula>AND(BB63="Yes",BD63&lt;&gt;"")</formula>
    </cfRule>
    <cfRule type="expression" dxfId="367" priority="551">
      <formula>BB63="Yes"</formula>
    </cfRule>
  </conditionalFormatting>
  <conditionalFormatting sqref="BD65:BD66">
    <cfRule type="expression" dxfId="366" priority="463">
      <formula>AND(BB65="Yes",BD65&lt;&gt;"")</formula>
    </cfRule>
    <cfRule type="expression" dxfId="365" priority="464">
      <formula>BB65="Yes"</formula>
    </cfRule>
  </conditionalFormatting>
  <conditionalFormatting sqref="BD70">
    <cfRule type="expression" dxfId="364" priority="376">
      <formula>AND(BB70="Yes",BD70&lt;&gt;"")</formula>
    </cfRule>
    <cfRule type="expression" dxfId="363" priority="377">
      <formula>BB70="Yes"</formula>
    </cfRule>
  </conditionalFormatting>
  <conditionalFormatting sqref="BD72:BD74 BD77">
    <cfRule type="expression" dxfId="362" priority="289">
      <formula>AND(BB72="Yes",BD72&lt;&gt;"")</formula>
    </cfRule>
    <cfRule type="expression" dxfId="361" priority="290">
      <formula>BB72="Yes"</formula>
    </cfRule>
  </conditionalFormatting>
  <conditionalFormatting sqref="BE29">
    <cfRule type="iconSet" priority="769">
      <iconSet iconSet="3Symbols" showValue="0">
        <cfvo type="percent" val="0"/>
        <cfvo type="num" val="0"/>
        <cfvo type="num" val="1"/>
      </iconSet>
    </cfRule>
  </conditionalFormatting>
  <conditionalFormatting sqref="BE60:BE61">
    <cfRule type="expression" dxfId="360" priority="1593">
      <formula>BE60=""</formula>
    </cfRule>
  </conditionalFormatting>
  <conditionalFormatting sqref="BE63">
    <cfRule type="expression" dxfId="359" priority="1592">
      <formula>BE63=""</formula>
    </cfRule>
  </conditionalFormatting>
  <conditionalFormatting sqref="BE65:BE66">
    <cfRule type="expression" dxfId="358" priority="1539">
      <formula>BE65=""</formula>
    </cfRule>
  </conditionalFormatting>
  <conditionalFormatting sqref="BE70">
    <cfRule type="expression" dxfId="357" priority="1491">
      <formula>BE70=""</formula>
    </cfRule>
  </conditionalFormatting>
  <conditionalFormatting sqref="BE72:BE73">
    <cfRule type="expression" dxfId="356" priority="1372">
      <formula>BE72=""</formula>
    </cfRule>
  </conditionalFormatting>
  <conditionalFormatting sqref="BE76">
    <cfRule type="expression" dxfId="355" priority="1371">
      <formula>BE76=""</formula>
    </cfRule>
  </conditionalFormatting>
  <conditionalFormatting sqref="BE77">
    <cfRule type="expression" dxfId="354" priority="1054">
      <formula>$BE$77=""</formula>
    </cfRule>
  </conditionalFormatting>
  <conditionalFormatting sqref="BG60:BG61">
    <cfRule type="expression" dxfId="352" priority="658">
      <formula>AND(BE60="Yes",BG60&lt;&gt;"")</formula>
    </cfRule>
    <cfRule type="expression" dxfId="351" priority="659">
      <formula>BE60="Yes"</formula>
    </cfRule>
  </conditionalFormatting>
  <conditionalFormatting sqref="BG63">
    <cfRule type="expression" dxfId="350" priority="547">
      <formula>AND(BE63="Yes",BG63&lt;&gt;"")</formula>
    </cfRule>
    <cfRule type="expression" dxfId="349" priority="548">
      <formula>BE63="Yes"</formula>
    </cfRule>
  </conditionalFormatting>
  <conditionalFormatting sqref="BG65:BG66">
    <cfRule type="expression" dxfId="348" priority="460">
      <formula>AND(BE65="Yes",BG65&lt;&gt;"")</formula>
    </cfRule>
    <cfRule type="expression" dxfId="347" priority="461">
      <formula>BE65="Yes"</formula>
    </cfRule>
  </conditionalFormatting>
  <conditionalFormatting sqref="BG70">
    <cfRule type="expression" dxfId="346" priority="373">
      <formula>AND(BE70="Yes",BG70&lt;&gt;"")</formula>
    </cfRule>
    <cfRule type="expression" dxfId="345" priority="374">
      <formula>BE70="Yes"</formula>
    </cfRule>
  </conditionalFormatting>
  <conditionalFormatting sqref="BG72:BG74 BG77">
    <cfRule type="expression" dxfId="344" priority="286">
      <formula>AND(BE72="Yes",BG72&lt;&gt;"")</formula>
    </cfRule>
    <cfRule type="expression" dxfId="343" priority="287">
      <formula>BE72="Yes"</formula>
    </cfRule>
  </conditionalFormatting>
  <conditionalFormatting sqref="BH29">
    <cfRule type="iconSet" priority="768">
      <iconSet iconSet="3Symbols" showValue="0">
        <cfvo type="percent" val="0"/>
        <cfvo type="num" val="0"/>
        <cfvo type="num" val="1"/>
      </iconSet>
    </cfRule>
  </conditionalFormatting>
  <conditionalFormatting sqref="BH60:BH61">
    <cfRule type="expression" dxfId="342" priority="1590">
      <formula>BH60=""</formula>
    </cfRule>
  </conditionalFormatting>
  <conditionalFormatting sqref="BH63">
    <cfRule type="expression" dxfId="341" priority="1589">
      <formula>BH63=""</formula>
    </cfRule>
  </conditionalFormatting>
  <conditionalFormatting sqref="BH65:BH66">
    <cfRule type="expression" dxfId="340" priority="1538">
      <formula>BH65=""</formula>
    </cfRule>
  </conditionalFormatting>
  <conditionalFormatting sqref="BH70">
    <cfRule type="expression" dxfId="339" priority="1489">
      <formula>BH70=""</formula>
    </cfRule>
  </conditionalFormatting>
  <conditionalFormatting sqref="BH72:BH73">
    <cfRule type="expression" dxfId="338" priority="1368">
      <formula>BH72=""</formula>
    </cfRule>
  </conditionalFormatting>
  <conditionalFormatting sqref="BH76">
    <cfRule type="expression" dxfId="337" priority="1367">
      <formula>BH76=""</formula>
    </cfRule>
  </conditionalFormatting>
  <conditionalFormatting sqref="BH77">
    <cfRule type="expression" dxfId="336" priority="1052">
      <formula>$BH$77=""</formula>
    </cfRule>
  </conditionalFormatting>
  <conditionalFormatting sqref="BJ60:BJ61">
    <cfRule type="expression" dxfId="334" priority="653">
      <formula>AND(BH60="Yes",BJ60&lt;&gt;"")</formula>
    </cfRule>
    <cfRule type="expression" dxfId="333" priority="654">
      <formula>BH60="Yes"</formula>
    </cfRule>
  </conditionalFormatting>
  <conditionalFormatting sqref="BJ63">
    <cfRule type="expression" dxfId="332" priority="544">
      <formula>AND(BH63="Yes",BJ63&lt;&gt;"")</formula>
    </cfRule>
    <cfRule type="expression" dxfId="331" priority="545">
      <formula>BH63="Yes"</formula>
    </cfRule>
  </conditionalFormatting>
  <conditionalFormatting sqref="BJ65:BJ66">
    <cfRule type="expression" dxfId="330" priority="457">
      <formula>AND(BH65="Yes",BJ65&lt;&gt;"")</formula>
    </cfRule>
    <cfRule type="expression" dxfId="329" priority="458">
      <formula>BH65="Yes"</formula>
    </cfRule>
  </conditionalFormatting>
  <conditionalFormatting sqref="BJ70">
    <cfRule type="expression" dxfId="328" priority="370">
      <formula>AND(BH70="Yes",BJ70&lt;&gt;"")</formula>
    </cfRule>
    <cfRule type="expression" dxfId="327" priority="371">
      <formula>BH70="Yes"</formula>
    </cfRule>
  </conditionalFormatting>
  <conditionalFormatting sqref="BJ72:BJ74 BJ77">
    <cfRule type="expression" dxfId="326" priority="283">
      <formula>AND(BH72="Yes",BJ72&lt;&gt;"")</formula>
    </cfRule>
    <cfRule type="expression" dxfId="325" priority="284">
      <formula>BH72="Yes"</formula>
    </cfRule>
  </conditionalFormatting>
  <conditionalFormatting sqref="BK29">
    <cfRule type="iconSet" priority="767">
      <iconSet iconSet="3Symbols" showValue="0">
        <cfvo type="percent" val="0"/>
        <cfvo type="num" val="0"/>
        <cfvo type="num" val="1"/>
      </iconSet>
    </cfRule>
  </conditionalFormatting>
  <conditionalFormatting sqref="BK60:BK61">
    <cfRule type="expression" dxfId="324" priority="1587">
      <formula>BK60=""</formula>
    </cfRule>
  </conditionalFormatting>
  <conditionalFormatting sqref="BK63">
    <cfRule type="expression" dxfId="323" priority="1586">
      <formula>BK63=""</formula>
    </cfRule>
  </conditionalFormatting>
  <conditionalFormatting sqref="BK65:BK66">
    <cfRule type="expression" dxfId="322" priority="1537">
      <formula>BK65=""</formula>
    </cfRule>
  </conditionalFormatting>
  <conditionalFormatting sqref="BK70">
    <cfRule type="expression" dxfId="321" priority="1487">
      <formula>BK70=""</formula>
    </cfRule>
  </conditionalFormatting>
  <conditionalFormatting sqref="BK72:BK73">
    <cfRule type="expression" dxfId="320" priority="1364">
      <formula>BK72=""</formula>
    </cfRule>
  </conditionalFormatting>
  <conditionalFormatting sqref="BK76">
    <cfRule type="expression" dxfId="319" priority="1363">
      <formula>BK76=""</formula>
    </cfRule>
  </conditionalFormatting>
  <conditionalFormatting sqref="BK77">
    <cfRule type="expression" dxfId="318" priority="1050">
      <formula>$BK$77=""</formula>
    </cfRule>
  </conditionalFormatting>
  <conditionalFormatting sqref="BM60:BM61">
    <cfRule type="expression" dxfId="316" priority="648">
      <formula>AND(BK60="Yes",BM60&lt;&gt;"")</formula>
    </cfRule>
    <cfRule type="expression" dxfId="315" priority="649">
      <formula>BK60="Yes"</formula>
    </cfRule>
  </conditionalFormatting>
  <conditionalFormatting sqref="BM63">
    <cfRule type="expression" dxfId="314" priority="541">
      <formula>AND(BK63="Yes",BM63&lt;&gt;"")</formula>
    </cfRule>
    <cfRule type="expression" dxfId="313" priority="542">
      <formula>BK63="Yes"</formula>
    </cfRule>
  </conditionalFormatting>
  <conditionalFormatting sqref="BM65:BM66">
    <cfRule type="expression" dxfId="312" priority="454">
      <formula>AND(BK65="Yes",BM65&lt;&gt;"")</formula>
    </cfRule>
    <cfRule type="expression" dxfId="311" priority="455">
      <formula>BK65="Yes"</formula>
    </cfRule>
  </conditionalFormatting>
  <conditionalFormatting sqref="BM70">
    <cfRule type="expression" dxfId="310" priority="367">
      <formula>AND(BK70="Yes",BM70&lt;&gt;"")</formula>
    </cfRule>
    <cfRule type="expression" dxfId="309" priority="368">
      <formula>BK70="Yes"</formula>
    </cfRule>
  </conditionalFormatting>
  <conditionalFormatting sqref="BM72:BM74 BM77">
    <cfRule type="expression" dxfId="308" priority="280">
      <formula>AND(BK72="Yes",BM72&lt;&gt;"")</formula>
    </cfRule>
    <cfRule type="expression" dxfId="307" priority="281">
      <formula>BK72="Yes"</formula>
    </cfRule>
  </conditionalFormatting>
  <conditionalFormatting sqref="BN29">
    <cfRule type="iconSet" priority="766">
      <iconSet iconSet="3Symbols" showValue="0">
        <cfvo type="percent" val="0"/>
        <cfvo type="num" val="0"/>
        <cfvo type="num" val="1"/>
      </iconSet>
    </cfRule>
  </conditionalFormatting>
  <conditionalFormatting sqref="BN60:BN61">
    <cfRule type="expression" dxfId="306" priority="1584">
      <formula>BN60=""</formula>
    </cfRule>
  </conditionalFormatting>
  <conditionalFormatting sqref="BN63">
    <cfRule type="expression" dxfId="305" priority="1583">
      <formula>BN63=""</formula>
    </cfRule>
  </conditionalFormatting>
  <conditionalFormatting sqref="BN65:BN66">
    <cfRule type="expression" dxfId="304" priority="1536">
      <formula>BN65=""</formula>
    </cfRule>
  </conditionalFormatting>
  <conditionalFormatting sqref="BN70">
    <cfRule type="expression" dxfId="303" priority="1485">
      <formula>BN70=""</formula>
    </cfRule>
  </conditionalFormatting>
  <conditionalFormatting sqref="BN72:BN73">
    <cfRule type="expression" dxfId="302" priority="1360">
      <formula>BN72=""</formula>
    </cfRule>
  </conditionalFormatting>
  <conditionalFormatting sqref="BN76">
    <cfRule type="expression" dxfId="301" priority="1359">
      <formula>BN76=""</formula>
    </cfRule>
  </conditionalFormatting>
  <conditionalFormatting sqref="BN77">
    <cfRule type="expression" dxfId="300" priority="1038">
      <formula>$BN$77=""</formula>
    </cfRule>
  </conditionalFormatting>
  <conditionalFormatting sqref="BP60:BP61">
    <cfRule type="expression" dxfId="298" priority="643">
      <formula>AND(BN60="Yes",BP60&lt;&gt;"")</formula>
    </cfRule>
    <cfRule type="expression" dxfId="297" priority="644">
      <formula>BN60="Yes"</formula>
    </cfRule>
  </conditionalFormatting>
  <conditionalFormatting sqref="BP63">
    <cfRule type="expression" dxfId="296" priority="538">
      <formula>AND(BN63="Yes",BP63&lt;&gt;"")</formula>
    </cfRule>
    <cfRule type="expression" dxfId="295" priority="539">
      <formula>BN63="Yes"</formula>
    </cfRule>
  </conditionalFormatting>
  <conditionalFormatting sqref="BP65:BP66">
    <cfRule type="expression" dxfId="294" priority="451">
      <formula>AND(BN65="Yes",BP65&lt;&gt;"")</formula>
    </cfRule>
    <cfRule type="expression" dxfId="293" priority="452">
      <formula>BN65="Yes"</formula>
    </cfRule>
  </conditionalFormatting>
  <conditionalFormatting sqref="BP70">
    <cfRule type="expression" dxfId="292" priority="364">
      <formula>AND(BN70="Yes",BP70&lt;&gt;"")</formula>
    </cfRule>
    <cfRule type="expression" dxfId="291" priority="365">
      <formula>BN70="Yes"</formula>
    </cfRule>
  </conditionalFormatting>
  <conditionalFormatting sqref="BP72:BP74 BP77">
    <cfRule type="expression" dxfId="290" priority="277">
      <formula>AND(BN72="Yes",BP72&lt;&gt;"")</formula>
    </cfRule>
    <cfRule type="expression" dxfId="289" priority="278">
      <formula>BN72="Yes"</formula>
    </cfRule>
  </conditionalFormatting>
  <conditionalFormatting sqref="BQ29">
    <cfRule type="iconSet" priority="765">
      <iconSet iconSet="3Symbols" showValue="0">
        <cfvo type="percent" val="0"/>
        <cfvo type="num" val="0"/>
        <cfvo type="num" val="1"/>
      </iconSet>
    </cfRule>
  </conditionalFormatting>
  <conditionalFormatting sqref="BQ60:BQ61">
    <cfRule type="expression" dxfId="288" priority="1581">
      <formula>BQ60=""</formula>
    </cfRule>
  </conditionalFormatting>
  <conditionalFormatting sqref="BQ63">
    <cfRule type="expression" dxfId="287" priority="1580">
      <formula>BQ63=""</formula>
    </cfRule>
  </conditionalFormatting>
  <conditionalFormatting sqref="BQ65:BQ66">
    <cfRule type="expression" dxfId="286" priority="1535">
      <formula>BQ65=""</formula>
    </cfRule>
  </conditionalFormatting>
  <conditionalFormatting sqref="BQ70">
    <cfRule type="expression" dxfId="285" priority="1483">
      <formula>BQ70=""</formula>
    </cfRule>
  </conditionalFormatting>
  <conditionalFormatting sqref="BQ72:BQ73">
    <cfRule type="expression" dxfId="284" priority="1356">
      <formula>BQ72=""</formula>
    </cfRule>
  </conditionalFormatting>
  <conditionalFormatting sqref="BQ76">
    <cfRule type="expression" dxfId="283" priority="1355">
      <formula>BQ76=""</formula>
    </cfRule>
  </conditionalFormatting>
  <conditionalFormatting sqref="BQ77">
    <cfRule type="expression" dxfId="282" priority="1090">
      <formula>$BQ$77=""</formula>
    </cfRule>
  </conditionalFormatting>
  <conditionalFormatting sqref="BS60:BS61">
    <cfRule type="expression" dxfId="279" priority="638">
      <formula>AND(BQ60="Yes",BS60&lt;&gt;"")</formula>
    </cfRule>
    <cfRule type="expression" dxfId="278" priority="639">
      <formula>BQ60="Yes"</formula>
    </cfRule>
  </conditionalFormatting>
  <conditionalFormatting sqref="BS63">
    <cfRule type="expression" dxfId="277" priority="535">
      <formula>AND(BQ63="Yes",BS63&lt;&gt;"")</formula>
    </cfRule>
    <cfRule type="expression" dxfId="276" priority="536">
      <formula>BQ63="Yes"</formula>
    </cfRule>
  </conditionalFormatting>
  <conditionalFormatting sqref="BS65:BS66">
    <cfRule type="expression" dxfId="275" priority="448">
      <formula>AND(BQ65="Yes",BS65&lt;&gt;"")</formula>
    </cfRule>
    <cfRule type="expression" dxfId="274" priority="449">
      <formula>BQ65="Yes"</formula>
    </cfRule>
  </conditionalFormatting>
  <conditionalFormatting sqref="BS70">
    <cfRule type="expression" dxfId="273" priority="361">
      <formula>AND(BQ70="Yes",BS70&lt;&gt;"")</formula>
    </cfRule>
    <cfRule type="expression" dxfId="272" priority="362">
      <formula>BQ70="Yes"</formula>
    </cfRule>
  </conditionalFormatting>
  <conditionalFormatting sqref="BS72:BS74 BS77">
    <cfRule type="expression" dxfId="271" priority="274">
      <formula>AND(BQ72="Yes",BS72&lt;&gt;"")</formula>
    </cfRule>
    <cfRule type="expression" dxfId="270" priority="275">
      <formula>BQ72="Yes"</formula>
    </cfRule>
  </conditionalFormatting>
  <conditionalFormatting sqref="BT29">
    <cfRule type="iconSet" priority="764">
      <iconSet iconSet="3Symbols" showValue="0">
        <cfvo type="percent" val="0"/>
        <cfvo type="num" val="0"/>
        <cfvo type="num" val="1"/>
      </iconSet>
    </cfRule>
  </conditionalFormatting>
  <conditionalFormatting sqref="BT60:BT61">
    <cfRule type="expression" dxfId="269" priority="1578">
      <formula>BT60=""</formula>
    </cfRule>
  </conditionalFormatting>
  <conditionalFormatting sqref="BT63">
    <cfRule type="expression" dxfId="268" priority="1577">
      <formula>BT63=""</formula>
    </cfRule>
  </conditionalFormatting>
  <conditionalFormatting sqref="BT65:BT66">
    <cfRule type="expression" dxfId="267" priority="1534">
      <formula>BT65=""</formula>
    </cfRule>
  </conditionalFormatting>
  <conditionalFormatting sqref="BT70">
    <cfRule type="expression" dxfId="266" priority="1481">
      <formula>BT70=""</formula>
    </cfRule>
  </conditionalFormatting>
  <conditionalFormatting sqref="BT72:BT73">
    <cfRule type="expression" dxfId="265" priority="1352">
      <formula>BT72=""</formula>
    </cfRule>
  </conditionalFormatting>
  <conditionalFormatting sqref="BT76">
    <cfRule type="expression" dxfId="264" priority="1351">
      <formula>BT76=""</formula>
    </cfRule>
  </conditionalFormatting>
  <conditionalFormatting sqref="BT77">
    <cfRule type="expression" dxfId="263" priority="1036">
      <formula>$BT$77=""</formula>
    </cfRule>
  </conditionalFormatting>
  <conditionalFormatting sqref="BV60:BV61">
    <cfRule type="expression" dxfId="261" priority="633">
      <formula>AND(BT60="Yes",BV60&lt;&gt;"")</formula>
    </cfRule>
    <cfRule type="expression" dxfId="260" priority="634">
      <formula>BT60="Yes"</formula>
    </cfRule>
  </conditionalFormatting>
  <conditionalFormatting sqref="BV63">
    <cfRule type="expression" dxfId="259" priority="532">
      <formula>AND(BT63="Yes",BV63&lt;&gt;"")</formula>
    </cfRule>
    <cfRule type="expression" dxfId="258" priority="533">
      <formula>BT63="Yes"</formula>
    </cfRule>
  </conditionalFormatting>
  <conditionalFormatting sqref="BV65:BV66">
    <cfRule type="expression" dxfId="257" priority="445">
      <formula>AND(BT65="Yes",BV65&lt;&gt;"")</formula>
    </cfRule>
    <cfRule type="expression" dxfId="256" priority="446">
      <formula>BT65="Yes"</formula>
    </cfRule>
  </conditionalFormatting>
  <conditionalFormatting sqref="BV70">
    <cfRule type="expression" dxfId="255" priority="358">
      <formula>AND(BT70="Yes",BV70&lt;&gt;"")</formula>
    </cfRule>
    <cfRule type="expression" dxfId="254" priority="359">
      <formula>BT70="Yes"</formula>
    </cfRule>
  </conditionalFormatting>
  <conditionalFormatting sqref="BV72:BV74 BV77">
    <cfRule type="expression" dxfId="253" priority="271">
      <formula>AND(BT72="Yes",BV72&lt;&gt;"")</formula>
    </cfRule>
    <cfRule type="expression" dxfId="252" priority="272">
      <formula>BT72="Yes"</formula>
    </cfRule>
  </conditionalFormatting>
  <conditionalFormatting sqref="BW29">
    <cfRule type="iconSet" priority="763">
      <iconSet iconSet="3Symbols" showValue="0">
        <cfvo type="percent" val="0"/>
        <cfvo type="num" val="0"/>
        <cfvo type="num" val="1"/>
      </iconSet>
    </cfRule>
  </conditionalFormatting>
  <conditionalFormatting sqref="BW60:BW61">
    <cfRule type="expression" dxfId="251" priority="1575">
      <formula>BW60=""</formula>
    </cfRule>
  </conditionalFormatting>
  <conditionalFormatting sqref="BW63">
    <cfRule type="expression" dxfId="250" priority="1574">
      <formula>BW63=""</formula>
    </cfRule>
  </conditionalFormatting>
  <conditionalFormatting sqref="BW65:BW66">
    <cfRule type="expression" dxfId="249" priority="1533">
      <formula>BW65=""</formula>
    </cfRule>
  </conditionalFormatting>
  <conditionalFormatting sqref="BW70">
    <cfRule type="expression" dxfId="248" priority="1479">
      <formula>BW70=""</formula>
    </cfRule>
  </conditionalFormatting>
  <conditionalFormatting sqref="BW72:BW73">
    <cfRule type="expression" dxfId="247" priority="1348">
      <formula>BW72=""</formula>
    </cfRule>
  </conditionalFormatting>
  <conditionalFormatting sqref="BW76">
    <cfRule type="expression" dxfId="246" priority="1347">
      <formula>BW76=""</formula>
    </cfRule>
  </conditionalFormatting>
  <conditionalFormatting sqref="BW77">
    <cfRule type="expression" dxfId="245" priority="1035">
      <formula>$BW$77=""</formula>
    </cfRule>
  </conditionalFormatting>
  <conditionalFormatting sqref="BY60:BY61">
    <cfRule type="expression" dxfId="243" priority="628">
      <formula>AND(BW60="Yes",BY60&lt;&gt;"")</formula>
    </cfRule>
    <cfRule type="expression" dxfId="242" priority="629">
      <formula>BW60="Yes"</formula>
    </cfRule>
  </conditionalFormatting>
  <conditionalFormatting sqref="BY63">
    <cfRule type="expression" dxfId="241" priority="529">
      <formula>AND(BW63="Yes",BY63&lt;&gt;"")</formula>
    </cfRule>
    <cfRule type="expression" dxfId="240" priority="530">
      <formula>BW63="Yes"</formula>
    </cfRule>
  </conditionalFormatting>
  <conditionalFormatting sqref="BY65:BY66">
    <cfRule type="expression" dxfId="239" priority="442">
      <formula>AND(BW65="Yes",BY65&lt;&gt;"")</formula>
    </cfRule>
    <cfRule type="expression" dxfId="238" priority="443">
      <formula>BW65="Yes"</formula>
    </cfRule>
  </conditionalFormatting>
  <conditionalFormatting sqref="BY70">
    <cfRule type="expression" dxfId="237" priority="355">
      <formula>AND(BW70="Yes",BY70&lt;&gt;"")</formula>
    </cfRule>
    <cfRule type="expression" dxfId="236" priority="356">
      <formula>BW70="Yes"</formula>
    </cfRule>
  </conditionalFormatting>
  <conditionalFormatting sqref="BY72:BY74 BY77">
    <cfRule type="expression" dxfId="235" priority="268">
      <formula>AND(BW72="Yes",BY72&lt;&gt;"")</formula>
    </cfRule>
    <cfRule type="expression" dxfId="234" priority="269">
      <formula>BW72="Yes"</formula>
    </cfRule>
  </conditionalFormatting>
  <conditionalFormatting sqref="BZ29">
    <cfRule type="iconSet" priority="762">
      <iconSet iconSet="3Symbols" showValue="0">
        <cfvo type="percent" val="0"/>
        <cfvo type="num" val="0"/>
        <cfvo type="num" val="1"/>
      </iconSet>
    </cfRule>
  </conditionalFormatting>
  <conditionalFormatting sqref="BZ60:BZ61">
    <cfRule type="expression" dxfId="233" priority="1572">
      <formula>BZ60=""</formula>
    </cfRule>
  </conditionalFormatting>
  <conditionalFormatting sqref="BZ63">
    <cfRule type="expression" dxfId="232" priority="1571">
      <formula>BZ63=""</formula>
    </cfRule>
  </conditionalFormatting>
  <conditionalFormatting sqref="BZ65:BZ66">
    <cfRule type="expression" dxfId="231" priority="1532">
      <formula>BZ65=""</formula>
    </cfRule>
  </conditionalFormatting>
  <conditionalFormatting sqref="BZ70">
    <cfRule type="expression" dxfId="230" priority="1477">
      <formula>BZ70=""</formula>
    </cfRule>
  </conditionalFormatting>
  <conditionalFormatting sqref="BZ72:BZ73">
    <cfRule type="expression" dxfId="229" priority="1344">
      <formula>BZ72=""</formula>
    </cfRule>
  </conditionalFormatting>
  <conditionalFormatting sqref="BZ76">
    <cfRule type="expression" dxfId="228" priority="1343">
      <formula>BZ76=""</formula>
    </cfRule>
  </conditionalFormatting>
  <conditionalFormatting sqref="BZ77">
    <cfRule type="expression" dxfId="227" priority="1034">
      <formula>$BZ$77=""</formula>
    </cfRule>
  </conditionalFormatting>
  <conditionalFormatting sqref="CB60:CB61">
    <cfRule type="expression" dxfId="225" priority="623">
      <formula>AND(BZ60="Yes",CB60&lt;&gt;"")</formula>
    </cfRule>
    <cfRule type="expression" dxfId="224" priority="624">
      <formula>BZ60="Yes"</formula>
    </cfRule>
  </conditionalFormatting>
  <conditionalFormatting sqref="CB63">
    <cfRule type="expression" dxfId="223" priority="526">
      <formula>AND(BZ63="Yes",CB63&lt;&gt;"")</formula>
    </cfRule>
    <cfRule type="expression" dxfId="222" priority="527">
      <formula>BZ63="Yes"</formula>
    </cfRule>
  </conditionalFormatting>
  <conditionalFormatting sqref="CB65:CB66">
    <cfRule type="expression" dxfId="221" priority="439">
      <formula>AND(BZ65="Yes",CB65&lt;&gt;"")</formula>
    </cfRule>
    <cfRule type="expression" dxfId="220" priority="440">
      <formula>BZ65="Yes"</formula>
    </cfRule>
  </conditionalFormatting>
  <conditionalFormatting sqref="CB70">
    <cfRule type="expression" dxfId="219" priority="352">
      <formula>AND(BZ70="Yes",CB70&lt;&gt;"")</formula>
    </cfRule>
    <cfRule type="expression" dxfId="218" priority="353">
      <formula>BZ70="Yes"</formula>
    </cfRule>
  </conditionalFormatting>
  <conditionalFormatting sqref="CB72:CB74 CB77">
    <cfRule type="expression" dxfId="217" priority="265">
      <formula>AND(BZ72="Yes",CB72&lt;&gt;"")</formula>
    </cfRule>
    <cfRule type="expression" dxfId="216" priority="266">
      <formula>BZ72="Yes"</formula>
    </cfRule>
  </conditionalFormatting>
  <conditionalFormatting sqref="CC29">
    <cfRule type="iconSet" priority="761">
      <iconSet iconSet="3Symbols" showValue="0">
        <cfvo type="percent" val="0"/>
        <cfvo type="num" val="0"/>
        <cfvo type="num" val="1"/>
      </iconSet>
    </cfRule>
  </conditionalFormatting>
  <conditionalFormatting sqref="CC60:CC61">
    <cfRule type="expression" dxfId="215" priority="1569">
      <formula>CC60=""</formula>
    </cfRule>
  </conditionalFormatting>
  <conditionalFormatting sqref="CC63">
    <cfRule type="expression" dxfId="214" priority="1568">
      <formula>CC63=""</formula>
    </cfRule>
  </conditionalFormatting>
  <conditionalFormatting sqref="CC65:CC66">
    <cfRule type="expression" dxfId="213" priority="1531">
      <formula>CC65=""</formula>
    </cfRule>
  </conditionalFormatting>
  <conditionalFormatting sqref="CC70">
    <cfRule type="expression" dxfId="212" priority="1475">
      <formula>CC70=""</formula>
    </cfRule>
  </conditionalFormatting>
  <conditionalFormatting sqref="CC72:CC73">
    <cfRule type="expression" dxfId="211" priority="1340">
      <formula>CC72=""</formula>
    </cfRule>
  </conditionalFormatting>
  <conditionalFormatting sqref="CC76">
    <cfRule type="expression" dxfId="210" priority="1339">
      <formula>CC76=""</formula>
    </cfRule>
  </conditionalFormatting>
  <conditionalFormatting sqref="CC77">
    <cfRule type="expression" dxfId="209" priority="1032">
      <formula>$CC$77=""</formula>
    </cfRule>
  </conditionalFormatting>
  <conditionalFormatting sqref="CE60:CE61">
    <cfRule type="expression" dxfId="207" priority="618">
      <formula>AND(CC60="Yes",CE60&lt;&gt;"")</formula>
    </cfRule>
    <cfRule type="expression" dxfId="206" priority="619">
      <formula>CC60="Yes"</formula>
    </cfRule>
  </conditionalFormatting>
  <conditionalFormatting sqref="CE63">
    <cfRule type="expression" dxfId="205" priority="523">
      <formula>AND(CC63="Yes",CE63&lt;&gt;"")</formula>
    </cfRule>
    <cfRule type="expression" dxfId="204" priority="524">
      <formula>CC63="Yes"</formula>
    </cfRule>
  </conditionalFormatting>
  <conditionalFormatting sqref="CE65:CE66">
    <cfRule type="expression" dxfId="203" priority="436">
      <formula>AND(CC65="Yes",CE65&lt;&gt;"")</formula>
    </cfRule>
    <cfRule type="expression" dxfId="202" priority="437">
      <formula>CC65="Yes"</formula>
    </cfRule>
  </conditionalFormatting>
  <conditionalFormatting sqref="CE70">
    <cfRule type="expression" dxfId="201" priority="349">
      <formula>AND(CC70="Yes",CE70&lt;&gt;"")</formula>
    </cfRule>
    <cfRule type="expression" dxfId="200" priority="350">
      <formula>CC70="Yes"</formula>
    </cfRule>
  </conditionalFormatting>
  <conditionalFormatting sqref="CE72:CE74 CE77">
    <cfRule type="expression" dxfId="199" priority="262">
      <formula>AND(CC72="Yes",CE72&lt;&gt;"")</formula>
    </cfRule>
    <cfRule type="expression" dxfId="198" priority="263">
      <formula>CC72="Yes"</formula>
    </cfRule>
  </conditionalFormatting>
  <conditionalFormatting sqref="CF29">
    <cfRule type="iconSet" priority="760">
      <iconSet iconSet="3Symbols" showValue="0">
        <cfvo type="percent" val="0"/>
        <cfvo type="num" val="0"/>
        <cfvo type="num" val="1"/>
      </iconSet>
    </cfRule>
  </conditionalFormatting>
  <conditionalFormatting sqref="CF60:CF61">
    <cfRule type="expression" dxfId="197" priority="1566">
      <formula>CF60=""</formula>
    </cfRule>
  </conditionalFormatting>
  <conditionalFormatting sqref="CF63">
    <cfRule type="expression" dxfId="196" priority="1565">
      <formula>CF63=""</formula>
    </cfRule>
  </conditionalFormatting>
  <conditionalFormatting sqref="CF65:CF66">
    <cfRule type="expression" dxfId="195" priority="1530">
      <formula>CF65=""</formula>
    </cfRule>
  </conditionalFormatting>
  <conditionalFormatting sqref="CF70">
    <cfRule type="expression" dxfId="194" priority="1473">
      <formula>CF70=""</formula>
    </cfRule>
  </conditionalFormatting>
  <conditionalFormatting sqref="CF72:CF73">
    <cfRule type="expression" dxfId="193" priority="1336">
      <formula>CF72=""</formula>
    </cfRule>
  </conditionalFormatting>
  <conditionalFormatting sqref="CF76">
    <cfRule type="expression" dxfId="192" priority="1335">
      <formula>CF76=""</formula>
    </cfRule>
  </conditionalFormatting>
  <conditionalFormatting sqref="CF77">
    <cfRule type="expression" dxfId="191" priority="1029">
      <formula>$CF$77=""</formula>
    </cfRule>
  </conditionalFormatting>
  <conditionalFormatting sqref="CH60:CH61">
    <cfRule type="expression" dxfId="189" priority="613">
      <formula>AND(CF60="Yes",CH60&lt;&gt;"")</formula>
    </cfRule>
    <cfRule type="expression" dxfId="188" priority="614">
      <formula>CF60="Yes"</formula>
    </cfRule>
  </conditionalFormatting>
  <conditionalFormatting sqref="CH63">
    <cfRule type="expression" dxfId="187" priority="520">
      <formula>AND(CF63="Yes",CH63&lt;&gt;"")</formula>
    </cfRule>
    <cfRule type="expression" dxfId="186" priority="521">
      <formula>CF63="Yes"</formula>
    </cfRule>
  </conditionalFormatting>
  <conditionalFormatting sqref="CH65:CH66">
    <cfRule type="expression" dxfId="185" priority="433">
      <formula>AND(CF65="Yes",CH65&lt;&gt;"")</formula>
    </cfRule>
    <cfRule type="expression" dxfId="184" priority="434">
      <formula>CF65="Yes"</formula>
    </cfRule>
  </conditionalFormatting>
  <conditionalFormatting sqref="CH70">
    <cfRule type="expression" dxfId="183" priority="346">
      <formula>AND(CF70="Yes",CH70&lt;&gt;"")</formula>
    </cfRule>
    <cfRule type="expression" dxfId="182" priority="347">
      <formula>CF70="Yes"</formula>
    </cfRule>
  </conditionalFormatting>
  <conditionalFormatting sqref="CH72:CH74 CH77">
    <cfRule type="expression" dxfId="181" priority="259">
      <formula>AND(CF72="Yes",CH72&lt;&gt;"")</formula>
    </cfRule>
    <cfRule type="expression" dxfId="180" priority="260">
      <formula>CF72="Yes"</formula>
    </cfRule>
  </conditionalFormatting>
  <conditionalFormatting sqref="CI29">
    <cfRule type="iconSet" priority="759">
      <iconSet iconSet="3Symbols" showValue="0">
        <cfvo type="percent" val="0"/>
        <cfvo type="num" val="0"/>
        <cfvo type="num" val="1"/>
      </iconSet>
    </cfRule>
  </conditionalFormatting>
  <conditionalFormatting sqref="CI60:CI61">
    <cfRule type="expression" dxfId="179" priority="1563">
      <formula>CI60=""</formula>
    </cfRule>
  </conditionalFormatting>
  <conditionalFormatting sqref="CI63">
    <cfRule type="expression" dxfId="178" priority="1562">
      <formula>CI63=""</formula>
    </cfRule>
  </conditionalFormatting>
  <conditionalFormatting sqref="CI65:CI66">
    <cfRule type="expression" dxfId="177" priority="1529">
      <formula>CI65=""</formula>
    </cfRule>
  </conditionalFormatting>
  <conditionalFormatting sqref="CI70">
    <cfRule type="expression" dxfId="176" priority="1471">
      <formula>CI70=""</formula>
    </cfRule>
  </conditionalFormatting>
  <conditionalFormatting sqref="CI72:CI73">
    <cfRule type="expression" dxfId="175" priority="1332">
      <formula>CI72=""</formula>
    </cfRule>
  </conditionalFormatting>
  <conditionalFormatting sqref="CI76">
    <cfRule type="expression" dxfId="174" priority="1331">
      <formula>CI76=""</formula>
    </cfRule>
  </conditionalFormatting>
  <conditionalFormatting sqref="CI77">
    <cfRule type="expression" dxfId="173" priority="1027">
      <formula>$CI$77=""</formula>
    </cfRule>
  </conditionalFormatting>
  <conditionalFormatting sqref="CK60:CK61">
    <cfRule type="expression" dxfId="171" priority="608">
      <formula>AND(CI60="Yes",CK60&lt;&gt;"")</formula>
    </cfRule>
    <cfRule type="expression" dxfId="170" priority="609">
      <formula>CI60="Yes"</formula>
    </cfRule>
  </conditionalFormatting>
  <conditionalFormatting sqref="CK63">
    <cfRule type="expression" dxfId="169" priority="517">
      <formula>AND(CI63="Yes",CK63&lt;&gt;"")</formula>
    </cfRule>
    <cfRule type="expression" dxfId="168" priority="518">
      <formula>CI63="Yes"</formula>
    </cfRule>
  </conditionalFormatting>
  <conditionalFormatting sqref="CK65:CK66">
    <cfRule type="expression" dxfId="167" priority="430">
      <formula>AND(CI65="Yes",CK65&lt;&gt;"")</formula>
    </cfRule>
    <cfRule type="expression" dxfId="166" priority="431">
      <formula>CI65="Yes"</formula>
    </cfRule>
  </conditionalFormatting>
  <conditionalFormatting sqref="CK70">
    <cfRule type="expression" dxfId="165" priority="343">
      <formula>AND(CI70="Yes",CK70&lt;&gt;"")</formula>
    </cfRule>
    <cfRule type="expression" dxfId="164" priority="344">
      <formula>CI70="Yes"</formula>
    </cfRule>
  </conditionalFormatting>
  <conditionalFormatting sqref="CK72:CK74 CK77">
    <cfRule type="expression" dxfId="163" priority="256">
      <formula>AND(CI72="Yes",CK72&lt;&gt;"")</formula>
    </cfRule>
    <cfRule type="expression" dxfId="162" priority="257">
      <formula>CI72="Yes"</formula>
    </cfRule>
  </conditionalFormatting>
  <conditionalFormatting sqref="CL29">
    <cfRule type="iconSet" priority="758">
      <iconSet iconSet="3Symbols" showValue="0">
        <cfvo type="percent" val="0"/>
        <cfvo type="num" val="0"/>
        <cfvo type="num" val="1"/>
      </iconSet>
    </cfRule>
  </conditionalFormatting>
  <conditionalFormatting sqref="CL60:CL61">
    <cfRule type="expression" dxfId="161" priority="1560">
      <formula>CL60=""</formula>
    </cfRule>
  </conditionalFormatting>
  <conditionalFormatting sqref="CL63">
    <cfRule type="expression" dxfId="160" priority="1559">
      <formula>CL63=""</formula>
    </cfRule>
  </conditionalFormatting>
  <conditionalFormatting sqref="CL65:CL66">
    <cfRule type="expression" dxfId="159" priority="1528">
      <formula>CL65=""</formula>
    </cfRule>
  </conditionalFormatting>
  <conditionalFormatting sqref="CL70">
    <cfRule type="expression" dxfId="158" priority="1469">
      <formula>CL70=""</formula>
    </cfRule>
  </conditionalFormatting>
  <conditionalFormatting sqref="CL72:CL73">
    <cfRule type="expression" dxfId="157" priority="1328">
      <formula>CL72=""</formula>
    </cfRule>
  </conditionalFormatting>
  <conditionalFormatting sqref="CL76">
    <cfRule type="expression" dxfId="156" priority="1327">
      <formula>CL76=""</formula>
    </cfRule>
  </conditionalFormatting>
  <conditionalFormatting sqref="CL77">
    <cfRule type="expression" dxfId="155" priority="1024">
      <formula>$CL$77=""</formula>
    </cfRule>
  </conditionalFormatting>
  <conditionalFormatting sqref="CN60:CN61">
    <cfRule type="expression" dxfId="153" priority="603">
      <formula>AND(CL60="Yes",CN60&lt;&gt;"")</formula>
    </cfRule>
    <cfRule type="expression" dxfId="152" priority="604">
      <formula>CL60="Yes"</formula>
    </cfRule>
  </conditionalFormatting>
  <conditionalFormatting sqref="CN63">
    <cfRule type="expression" dxfId="151" priority="514">
      <formula>AND(CL63="Yes",CN63&lt;&gt;"")</formula>
    </cfRule>
    <cfRule type="expression" dxfId="150" priority="515">
      <formula>CL63="Yes"</formula>
    </cfRule>
  </conditionalFormatting>
  <conditionalFormatting sqref="CN65:CN66">
    <cfRule type="expression" dxfId="149" priority="427">
      <formula>AND(CL65="Yes",CN65&lt;&gt;"")</formula>
    </cfRule>
    <cfRule type="expression" dxfId="148" priority="428">
      <formula>CL65="Yes"</formula>
    </cfRule>
  </conditionalFormatting>
  <conditionalFormatting sqref="CN70">
    <cfRule type="expression" dxfId="147" priority="340">
      <formula>AND(CL70="Yes",CN70&lt;&gt;"")</formula>
    </cfRule>
    <cfRule type="expression" dxfId="146" priority="341">
      <formula>CL70="Yes"</formula>
    </cfRule>
  </conditionalFormatting>
  <conditionalFormatting sqref="CN72:CN74 CN77">
    <cfRule type="expression" dxfId="145" priority="253">
      <formula>AND(CL72="Yes",CN72&lt;&gt;"")</formula>
    </cfRule>
    <cfRule type="expression" dxfId="144" priority="254">
      <formula>CL72="Yes"</formula>
    </cfRule>
  </conditionalFormatting>
  <conditionalFormatting sqref="CO13 CO15 CL13 CL15 CI13 CI15 CF15 CF13 CC13 CC15 BZ13 BZ15 BW15 BW13 BT13 BT15 BQ15 BQ13 BN13 BN15 BK15 BK13 BH13 BH15 BE13 BE15 BB13 BB15 AY15 AY13 AV13 AV15 AS15 AS13 AP13 AP15 AM13 AM15 AJ15 AJ13 AG13 AG15 AD13 AD15 AA15 AA13 X13 X15 U13 U15 R15 R13 O13 O15 L13 L15 I13 I15 F13 F15">
    <cfRule type="iconSet" priority="1185">
      <iconSet iconSet="3Symbols" showValue="0">
        <cfvo type="percent" val="0"/>
        <cfvo type="num" val="0"/>
        <cfvo type="num" val="1"/>
      </iconSet>
    </cfRule>
  </conditionalFormatting>
  <conditionalFormatting sqref="CO29">
    <cfRule type="iconSet" priority="757">
      <iconSet iconSet="3Symbols" showValue="0">
        <cfvo type="percent" val="0"/>
        <cfvo type="num" val="0"/>
        <cfvo type="num" val="1"/>
      </iconSet>
    </cfRule>
  </conditionalFormatting>
  <conditionalFormatting sqref="CO60:CO61">
    <cfRule type="expression" dxfId="143" priority="1557">
      <formula>CO60=""</formula>
    </cfRule>
  </conditionalFormatting>
  <conditionalFormatting sqref="CO63">
    <cfRule type="expression" dxfId="142" priority="1556">
      <formula>CO63=""</formula>
    </cfRule>
  </conditionalFormatting>
  <conditionalFormatting sqref="CO65:CO66">
    <cfRule type="expression" dxfId="141" priority="1527">
      <formula>CO65=""</formula>
    </cfRule>
  </conditionalFormatting>
  <conditionalFormatting sqref="CO70">
    <cfRule type="expression" dxfId="140" priority="1467">
      <formula>CO70=""</formula>
    </cfRule>
  </conditionalFormatting>
  <conditionalFormatting sqref="CO72:CO73">
    <cfRule type="expression" dxfId="139" priority="1324">
      <formula>CO72=""</formula>
    </cfRule>
  </conditionalFormatting>
  <conditionalFormatting sqref="CO76">
    <cfRule type="expression" dxfId="138" priority="1323">
      <formula>CO76=""</formula>
    </cfRule>
  </conditionalFormatting>
  <conditionalFormatting sqref="CO77">
    <cfRule type="expression" dxfId="137" priority="754">
      <formula>$CO$77=""</formula>
    </cfRule>
  </conditionalFormatting>
  <conditionalFormatting sqref="CQ60:CQ61">
    <cfRule type="expression" dxfId="135" priority="598">
      <formula>AND(CO60="Yes",CQ60&lt;&gt;"")</formula>
    </cfRule>
    <cfRule type="expression" dxfId="134" priority="599">
      <formula>CO60="Yes"</formula>
    </cfRule>
  </conditionalFormatting>
  <conditionalFormatting sqref="CQ63">
    <cfRule type="expression" dxfId="133" priority="511">
      <formula>AND(CO63="Yes",CQ63&lt;&gt;"")</formula>
    </cfRule>
    <cfRule type="expression" dxfId="132" priority="512">
      <formula>CO63="Yes"</formula>
    </cfRule>
  </conditionalFormatting>
  <conditionalFormatting sqref="CQ65:CQ66">
    <cfRule type="expression" dxfId="131" priority="424">
      <formula>AND(CO65="Yes",CQ65&lt;&gt;"")</formula>
    </cfRule>
    <cfRule type="expression" dxfId="130" priority="425">
      <formula>CO65="Yes"</formula>
    </cfRule>
  </conditionalFormatting>
  <conditionalFormatting sqref="CQ70">
    <cfRule type="expression" dxfId="129" priority="337">
      <formula>AND(CO70="Yes",CQ70&lt;&gt;"")</formula>
    </cfRule>
    <cfRule type="expression" dxfId="128" priority="338">
      <formula>CO70="Yes"</formula>
    </cfRule>
  </conditionalFormatting>
  <conditionalFormatting sqref="CQ72:CQ74 CQ77">
    <cfRule type="expression" dxfId="127" priority="250">
      <formula>AND(CO72="Yes",CQ72&lt;&gt;"")</formula>
    </cfRule>
    <cfRule type="expression" dxfId="126" priority="251">
      <formula>CO72="Yes"</formula>
    </cfRule>
  </conditionalFormatting>
  <dataValidations count="8">
    <dataValidation type="list" allowBlank="1" showInputMessage="1" showErrorMessage="1" sqref="CO70 CI70 CL76:CL77 F62:CQ62 F70 I60:I61 L60:L61 O60:O61 R60:R61 U60:U61 X60:X61 AA60:AA61 AD60:AD61 AG60:AG61 AJ60:AJ61 AM60:AM61 AP60:AP61 AS60:AS61 AV60:AV61 AY60:AY61 BB60:BB61 BE60:BE61 BH60:BH61 BK60:BK61 BN60:BN61 BQ60:BQ61 BT60:BT61 BW60:BW61 BZ60:BZ61 CC60:CC61 CF60:CF61 CI60:CI61 CL60:CL61 CO60:CO61 I65:I66 L65:L66 O65:O66 R65:R66 I76:I77 U65:U66 X65:X66 AA65:AA66 AD65:AD66 AG65:AG66 AJ65:AJ66 AM65:AM66 AP65:AP66 AS65:AS66 AV65:AV66 AY65:AY66 BB65:BB66 BE65:BE66 BH65:BH66 BK65:BK66 BN65:BN66 BQ65:BQ66 BT65:BT66 BW65:BW66 BZ65:BZ66 CC65:CC66 CF65:CF66 CI65:CI66 CL65:CL66 L76:L77 O76:O77 R76:R77 U76:U77 X76:X77 AA76:AA77 AD76:AD77 AG76:AG77 AJ76:AJ77 AM76:AM77 AP76:AP77 AS76:AS77 AV76:AV77 AY76:AY77 BB76:BB77 BE76:BE77 BH76:BH77 BK76:BK77 BN76:BN77 BQ76:BQ77 BT76:BT77 BW76:BW77 BZ76:BZ77 CC76:CC77 CF76:CF77 CI76:CI77 F76:F77 CL70 F63 F67:CQ67 I63 L63 O63 R63 U63 X63 AA63 AD63 AG63 AJ63 AM63 AP63 AS63 AV63 AY63 BB63 BE63 BH63 BK63 BN63 BQ63 BT63 BW63 BZ63 CC63 CF63 CI63 CL63 CO63 CO65:CO66 I70 L70 O70 R70 U70 X70 AA70 AD70 AG70 AJ70 AM70 AP70 AS70 AV70 AY70 BB70 BE70 BH70 BK70 BN70 BQ70 BT70 BW70 BZ70 CC70 CF70 F59:CQ59 F60:F61 F65:F66 F72:F74 CI72:CI74 CF72:CF74 CC72:CC74 BZ72:BZ74 BW72:BW74 BT72:BT74 BQ72:BQ74 BN72:BN74 BK72:BK74 BH72:BH74 BE72:BE74 BB72:BB74 AY72:AY74 AV72:AV74 AS72:AS74 AP72:AP74 AM72:AM74 AJ72:AJ74 AG72:AG74 AD72:AD74 AA72:AA74 X72:X74 U72:U74 R72:R74 O72:O74 L72:L74 I72:I74 CL72:CL74 CO72:CO74 CO76:CO77" xr:uid="{E147E9FC-BA45-4B2D-9A3A-D866D29C8348}">
      <formula1>"Yes,No"</formula1>
    </dataValidation>
    <dataValidation type="list" allowBlank="1" showInputMessage="1" showErrorMessage="1" sqref="F68:CQ69" xr:uid="{5167FE19-9C89-4468-A8EE-0C14BA32D1BA}">
      <formula1>"Yes,No,Not applicable"</formula1>
    </dataValidation>
    <dataValidation operator="greaterThan" allowBlank="1" showInputMessage="1" showErrorMessage="1" errorTitle="Invalid information" error="You must enter a numeric value" sqref="F47:CQ47" xr:uid="{82420941-C451-41FF-BCCD-B88972B69A0A}"/>
    <dataValidation operator="greaterThan" allowBlank="1" showInputMessage="1" showErrorMessage="1" sqref="F84:H84" xr:uid="{5588BD82-D9CD-4A54-BAE0-101E9595953F}"/>
    <dataValidation type="whole" operator="greaterThanOrEqual" allowBlank="1" showInputMessage="1" showErrorMessage="1" errorTitle="Invalid response" error="A numeric value must be entered. If you do not know the number of candidate predictors assessed, enter the value 0." sqref="F38:CQ38" xr:uid="{F67717C1-1953-42E0-BE1B-25B0CE34C458}">
      <formula1>0</formula1>
    </dataValidation>
    <dataValidation type="list" allowBlank="1" showInputMessage="1" showErrorMessage="1" sqref="F41:CQ42 F35:CQ35 F86:CQ86 F56:CQ56" xr:uid="{CC0808D0-CC52-4248-9463-CDBC2521B652}">
      <formula1>"Yes,No,Unclear,No information"</formula1>
    </dataValidation>
    <dataValidation allowBlank="1" showInputMessage="1" showErrorMessage="1" errorTitle="Invalid response" error="A numeric value must be entered. If you do not know the number of candidate predictors assessed, enter the value 0." sqref="F45:CQ46" xr:uid="{53DB5B2C-7C16-4C02-B8D9-E2F5F5581834}"/>
    <dataValidation type="list" allowBlank="1" showInputMessage="1" showErrorMessage="1" sqref="F34:CQ34 F32:CQ32" xr:uid="{3DA3050E-1204-427B-8E98-D91D7916627B}">
      <formula1>"Yes, No, Unclear, No information"</formula1>
    </dataValidation>
  </dataValidations>
  <pageMargins left="0.7" right="0.7" top="0.75" bottom="0.75" header="0.3" footer="0.3"/>
  <pageSetup paperSize="9" orientation="portrait" r:id="rId1"/>
  <ignoredErrors>
    <ignoredError sqref="F47:CQ47 F75 G75:CQ75"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47" id="{D6540145-2AE3-4CA0-A6D4-1FB91DEBA918}">
            <x14:iconSet iconSet="3Symbols" showValue="0" custom="1">
              <x14:cfvo type="percent">
                <xm:f>0</xm:f>
              </x14:cfvo>
              <x14:cfvo type="num">
                <xm:f>0</xm:f>
              </x14:cfvo>
              <x14:cfvo type="num">
                <xm:f>1</xm:f>
              </x14:cfvo>
              <x14:cfIcon iconSet="3Symbols" iconId="0"/>
              <x14:cfIcon iconSet="3Symbols" iconId="1"/>
              <x14:cfIcon iconSet="3Symbols" iconId="2"/>
            </x14:iconSet>
          </x14:cfRule>
          <xm:sqref>F29</xm:sqref>
        </x14:conditionalFormatting>
        <x14:conditionalFormatting xmlns:xm="http://schemas.microsoft.com/office/excel/2006/main">
          <x14:cfRule type="iconSet" priority="1046" id="{5FC25F0C-E245-4D1E-928C-02FCD9A044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F37</xm:sqref>
        </x14:conditionalFormatting>
        <x14:conditionalFormatting xmlns:xm="http://schemas.microsoft.com/office/excel/2006/main">
          <x14:cfRule type="iconSet" priority="1045" id="{1030EB84-B659-4E63-A2CE-D4A0DF1A62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F44</xm:sqref>
        </x14:conditionalFormatting>
        <x14:conditionalFormatting xmlns:xm="http://schemas.microsoft.com/office/excel/2006/main">
          <x14:cfRule type="iconSet" priority="1044" id="{BB7CD432-CE77-4F3B-811A-CD45E3204D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F49</xm:sqref>
        </x14:conditionalFormatting>
        <x14:conditionalFormatting xmlns:xm="http://schemas.microsoft.com/office/excel/2006/main">
          <x14:cfRule type="iconSet" priority="1043" id="{87C2B3C7-4A6E-461C-9CA7-ADE4E83189A6}">
            <x14:iconSet iconSet="3Symbols" showValue="0" custom="1">
              <x14:cfvo type="percent">
                <xm:f>0</xm:f>
              </x14:cfvo>
              <x14:cfvo type="num">
                <xm:f>0</xm:f>
              </x14:cfvo>
              <x14:cfvo type="num">
                <xm:f>1</xm:f>
              </x14:cfvo>
              <x14:cfIcon iconSet="3Symbols" iconId="0"/>
              <x14:cfIcon iconSet="3Symbols" iconId="1"/>
              <x14:cfIcon iconSet="3Symbols" iconId="2"/>
            </x14:iconSet>
          </x14:cfRule>
          <xm:sqref>F52</xm:sqref>
        </x14:conditionalFormatting>
        <x14:conditionalFormatting xmlns:xm="http://schemas.microsoft.com/office/excel/2006/main">
          <x14:cfRule type="iconSet" priority="1042" id="{C0063958-72B1-439F-952D-04F71989C0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F57</xm:sqref>
        </x14:conditionalFormatting>
        <x14:conditionalFormatting xmlns:xm="http://schemas.microsoft.com/office/excel/2006/main">
          <x14:cfRule type="iconSet" priority="1041" id="{E968F6A7-2422-4463-9BE0-B00650C9E07C}">
            <x14:iconSet iconSet="3Symbols" showValue="0" custom="1">
              <x14:cfvo type="percent">
                <xm:f>0</xm:f>
              </x14:cfvo>
              <x14:cfvo type="num">
                <xm:f>0</xm:f>
              </x14:cfvo>
              <x14:cfvo type="num">
                <xm:f>1</xm:f>
              </x14:cfvo>
              <x14:cfIcon iconSet="3Symbols" iconId="0"/>
              <x14:cfIcon iconSet="3Symbols" iconId="1"/>
              <x14:cfIcon iconSet="3Symbols" iconId="2"/>
            </x14:iconSet>
          </x14:cfRule>
          <xm:sqref>F78</xm:sqref>
        </x14:conditionalFormatting>
        <x14:conditionalFormatting xmlns:xm="http://schemas.microsoft.com/office/excel/2006/main">
          <x14:cfRule type="iconSet" priority="1040" id="{F78C7F59-6818-4CB9-B0B8-43F08CBFCDA3}">
            <x14:iconSet iconSet="3Symbols" showValue="0" custom="1">
              <x14:cfvo type="percent">
                <xm:f>0</xm:f>
              </x14:cfvo>
              <x14:cfvo type="num">
                <xm:f>0</xm:f>
              </x14:cfvo>
              <x14:cfvo type="num">
                <xm:f>1</xm:f>
              </x14:cfvo>
              <x14:cfIcon iconSet="3Symbols" iconId="0"/>
              <x14:cfIcon iconSet="3Symbols" iconId="1"/>
              <x14:cfIcon iconSet="3Symbols" iconId="2"/>
            </x14:iconSet>
          </x14:cfRule>
          <xm:sqref>F83</xm:sqref>
        </x14:conditionalFormatting>
        <x14:conditionalFormatting xmlns:xm="http://schemas.microsoft.com/office/excel/2006/main">
          <x14:cfRule type="iconSet" priority="1039" id="{A438FE5D-6704-48D9-86E4-7A02978540D5}">
            <x14:iconSet iconSet="3Symbols" showValue="0" custom="1">
              <x14:cfvo type="percent">
                <xm:f>0</xm:f>
              </x14:cfvo>
              <x14:cfvo type="num">
                <xm:f>0</xm:f>
              </x14:cfvo>
              <x14:cfvo type="num">
                <xm:f>1</xm:f>
              </x14:cfvo>
              <x14:cfIcon iconSet="3Symbols" iconId="0"/>
              <x14:cfIcon iconSet="3Symbols" iconId="1"/>
              <x14:cfIcon iconSet="3Symbols" iconId="2"/>
            </x14:iconSet>
          </x14:cfRule>
          <xm:sqref>F88</xm:sqref>
        </x14:conditionalFormatting>
        <x14:conditionalFormatting xmlns:xm="http://schemas.microsoft.com/office/excel/2006/main">
          <x14:cfRule type="expression" priority="244" id="{54404DDE-DAB6-4CDA-A995-6FB2E4C356C6}">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F90:H93 F6:H15 F23:H24 H25:H26 F27:H29 F32:H35 F37:H44 F47:H52 F54:H64 F65:G65 F66:H72 F73:G73 F74:H75 F76:F77 F77:H88</xm:sqref>
        </x14:conditionalFormatting>
        <x14:conditionalFormatting xmlns:xm="http://schemas.microsoft.com/office/excel/2006/main">
          <x14:cfRule type="expression" priority="151" id="{BC888A11-4FC0-480B-89C6-AA45D1C4A482}">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I50:K50</xm:sqref>
        </x14:conditionalFormatting>
        <x14:conditionalFormatting xmlns:xm="http://schemas.microsoft.com/office/excel/2006/main">
          <x14:cfRule type="expression" priority="243" id="{3ECB1214-485D-4030-B3FE-F9E12C5121AE}">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I90:K93 I6:K15 I20:K20 I23:K23 K24:K26 I27:K29 I32:K35 I37:K37 I41:K44 I47:K64 I65:J65 I66:K75 I76 I77:K88</xm:sqref>
        </x14:conditionalFormatting>
        <x14:conditionalFormatting xmlns:xm="http://schemas.microsoft.com/office/excel/2006/main">
          <x14:cfRule type="expression" priority="242" id="{B6D9CF34-825E-4B62-954C-15081B20473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L90:N93 L6:N15 I20:N20 L23:N23 N24:N26 L27:N29 L32:N35 L37:N37 L41:N44 L47:N64 L65:M65 L66:N74 L75:L76 L77:N88</xm:sqref>
        </x14:conditionalFormatting>
        <x14:conditionalFormatting xmlns:xm="http://schemas.microsoft.com/office/excel/2006/main">
          <x14:cfRule type="expression" priority="241" id="{6CCB019E-4C1B-43EE-888C-D607249BC029}">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O90:Q93 O6:Q16 O23:Q23 Q24:Q26 O27:Q29 O32:Q35 O37:Q38 O41:Q42 O44:Q49 O51:Q64 O65:P65 O66:Q72 O73:P73 O74:Q74 O75:O76 O77:Q88</xm:sqref>
        </x14:conditionalFormatting>
        <x14:conditionalFormatting xmlns:xm="http://schemas.microsoft.com/office/excel/2006/main">
          <x14:cfRule type="expression" priority="240" id="{ED860E3D-F1D6-450F-B55B-78F96023A7CE}">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R90:T93 R6:T16 R20:T20 R22:T23 T24:T26 R27:T29 R32:T35 R37:T38 R41:T42 R44:T59 R60:S60 R61:T64 R65:S65 R66:T74 R75:R76 R77:S77 R78:T88</xm:sqref>
        </x14:conditionalFormatting>
        <x14:conditionalFormatting xmlns:xm="http://schemas.microsoft.com/office/excel/2006/main">
          <x14:cfRule type="expression" priority="247" id="{74AFDCF6-81CA-43E0-A875-6B62D759353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U14:W14</xm:sqref>
        </x14:conditionalFormatting>
        <x14:conditionalFormatting xmlns:xm="http://schemas.microsoft.com/office/excel/2006/main">
          <x14:cfRule type="expression" priority="111" id="{2537DF54-9948-4164-9640-1A26CFB39229}">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U16:W16</xm:sqref>
        </x14:conditionalFormatting>
        <x14:conditionalFormatting xmlns:xm="http://schemas.microsoft.com/office/excel/2006/main">
          <x14:cfRule type="expression" priority="239" id="{405491A9-C2F9-4599-B62A-BEF025CB86CF}">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U77:W93 U6:W16 U20:W20 U23:W23 W24:W26 U27:W29 U32:W35 U37:W38 U41:W42 U44:W49 U51:W64 U65:V65 U66:W74 U75:U76</xm:sqref>
        </x14:conditionalFormatting>
        <x14:conditionalFormatting xmlns:xm="http://schemas.microsoft.com/office/excel/2006/main">
          <x14:cfRule type="expression" priority="238" id="{110E36AA-21A9-4B59-A67E-1EBC29DF5940}">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X90:Z93 X6:Z16 X19:Z20 X23:Z23 Z24 X25:Z25 Z26 X27:Z29 X32:Z35 X37:Z38 X41:Z42 X44:Z49 X51:Z64 X65:Y65 X66:Z74 X75:X76 X77:Z88</xm:sqref>
        </x14:conditionalFormatting>
        <x14:conditionalFormatting xmlns:xm="http://schemas.microsoft.com/office/excel/2006/main">
          <x14:cfRule type="expression" priority="237" id="{8351F499-0116-4C32-AE33-1151E4424C92}">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AA90:AC93 AA6:AC15 AA23:AC23 AC24 AA25:AC25 AC26 AA27:AC29 AA32:AC35 AA37:AC38 AA41:AC44 AA46:AC64 AA65:AB65 AA66:AC74 AA75:AA76 AA77:AC88</xm:sqref>
        </x14:conditionalFormatting>
        <x14:conditionalFormatting xmlns:xm="http://schemas.microsoft.com/office/excel/2006/main">
          <x14:cfRule type="expression" priority="236" id="{53B85F09-7D86-4893-AD1C-3A3BB903C86E}">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AD90:AF93 AD6:AF15 AD23:AF23 AF24 AD25:AF25 AF26 AD27:AF29 AD32:AF35 AD37:AF38 AD40:AF44 AD46:AF64 AD65:AE65 AD66:AF72 AD73:AE73 AD74:AF74 AD75:AD76 AD77:AF83 AD85:AF88</xm:sqref>
        </x14:conditionalFormatting>
        <x14:conditionalFormatting xmlns:xm="http://schemas.microsoft.com/office/excel/2006/main">
          <x14:cfRule type="expression" priority="235" id="{666EB84B-6B6E-4658-A0A0-243DC3185ABA}">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AG77:AI93 AG6:AI74 AG75:AG76</xm:sqref>
        </x14:conditionalFormatting>
        <x14:conditionalFormatting xmlns:xm="http://schemas.microsoft.com/office/excel/2006/main">
          <x14:cfRule type="expression" priority="234" id="{4E6E594E-4009-4133-90D0-41E3A7F342EA}">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AJ77:AL93 AJ6:AL74 AJ75:AJ76</xm:sqref>
        </x14:conditionalFormatting>
        <x14:conditionalFormatting xmlns:xm="http://schemas.microsoft.com/office/excel/2006/main">
          <x14:cfRule type="expression" priority="233" id="{EE4DC256-9C47-41FF-B932-00DA8BFFBE3A}">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AM77:AO93 AM6:AO74 AM75:AM76</xm:sqref>
        </x14:conditionalFormatting>
        <x14:conditionalFormatting xmlns:xm="http://schemas.microsoft.com/office/excel/2006/main">
          <x14:cfRule type="expression" priority="232" id="{FDEF6725-5D5F-452C-89E6-E6A54D821B8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AP77:AR93 AP6:AR74 AP75:AP76</xm:sqref>
        </x14:conditionalFormatting>
        <x14:conditionalFormatting xmlns:xm="http://schemas.microsoft.com/office/excel/2006/main">
          <x14:cfRule type="expression" priority="231" id="{AABE3C50-07B7-4E9E-BFF8-E3BB4B1FAF36}">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AS77:AU93 AS6:AU74 AS75:AS76</xm:sqref>
        </x14:conditionalFormatting>
        <x14:conditionalFormatting xmlns:xm="http://schemas.microsoft.com/office/excel/2006/main">
          <x14:cfRule type="expression" priority="230" id="{D904A30B-88C6-4A16-BB80-1C81911229C7}">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AV77:AX93 AV6:AX74 AV75:AV76</xm:sqref>
        </x14:conditionalFormatting>
        <x14:conditionalFormatting xmlns:xm="http://schemas.microsoft.com/office/excel/2006/main">
          <x14:cfRule type="expression" priority="229" id="{AEDC0B9F-D99D-49AF-8027-804458B8D883}">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AY77:BA93 AY6:BA74 AY75:AY76</xm:sqref>
        </x14:conditionalFormatting>
        <x14:conditionalFormatting xmlns:xm="http://schemas.microsoft.com/office/excel/2006/main">
          <x14:cfRule type="expression" priority="228" id="{5FD9DE84-9587-45B7-9F14-EC1CDE9E20AF}">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BB77:BD93 BB6:BD74 BB75:BB76</xm:sqref>
        </x14:conditionalFormatting>
        <x14:conditionalFormatting xmlns:xm="http://schemas.microsoft.com/office/excel/2006/main">
          <x14:cfRule type="expression" priority="227" id="{692BE82F-38C0-4B61-BEBA-C34A69C69214}">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BE77:BG93 BE6:BG74 BE75:BE76</xm:sqref>
        </x14:conditionalFormatting>
        <x14:conditionalFormatting xmlns:xm="http://schemas.microsoft.com/office/excel/2006/main">
          <x14:cfRule type="expression" priority="226" id="{80523C90-9EE3-448E-94AE-0AFD8AACAB97}">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BH77:BJ93 BH6:BJ74 BH75:BH76</xm:sqref>
        </x14:conditionalFormatting>
        <x14:conditionalFormatting xmlns:xm="http://schemas.microsoft.com/office/excel/2006/main">
          <x14:cfRule type="expression" priority="225" id="{FD9215C2-3297-4729-8D38-7CEE3D515C89}">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BK77:BM93 BK6:BM74 BK75:BK76</xm:sqref>
        </x14:conditionalFormatting>
        <x14:conditionalFormatting xmlns:xm="http://schemas.microsoft.com/office/excel/2006/main">
          <x14:cfRule type="expression" priority="224" id="{DA8D08AF-06CF-4124-ACF2-43F38AD7244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BN77:BP93 BN6:BP74 BN75:BN76</xm:sqref>
        </x14:conditionalFormatting>
        <x14:conditionalFormatting xmlns:xm="http://schemas.microsoft.com/office/excel/2006/main">
          <x14:cfRule type="expression" priority="1026" id="{B9C6A6CD-8413-435E-907D-4F676DD05547}">
            <xm:f>SUMMARY!$B$28=FALSE</xm:f>
            <x14:dxf>
              <font>
                <color theme="0"/>
              </font>
              <fill>
                <patternFill>
                  <bgColor theme="0"/>
                </patternFill>
              </fill>
              <border>
                <left/>
                <right/>
                <top/>
                <bottom/>
                <vertical/>
                <horizontal/>
              </border>
            </x14:dxf>
          </x14:cfRule>
          <xm:sqref>BQ23:BS23</xm:sqref>
        </x14:conditionalFormatting>
        <x14:conditionalFormatting xmlns:xm="http://schemas.microsoft.com/office/excel/2006/main">
          <x14:cfRule type="expression" priority="223" id="{1B07B67E-21DE-4ACE-BC05-35BFE014E219}">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BQ77:BS93 BQ6:BS22 BQ24:BS74 BQ75:BQ76</xm:sqref>
        </x14:conditionalFormatting>
        <x14:conditionalFormatting xmlns:xm="http://schemas.microsoft.com/office/excel/2006/main">
          <x14:cfRule type="expression" priority="222" id="{BC4F3E8A-7A13-45F1-89D9-200CB012FA5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BT77:BV93 BT6:BV74 BT75:BT76</xm:sqref>
        </x14:conditionalFormatting>
        <x14:conditionalFormatting xmlns:xm="http://schemas.microsoft.com/office/excel/2006/main">
          <x14:cfRule type="expression" priority="221" id="{DCB7AB33-B189-447D-90C3-F375B579B566}">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BW77:BY93 BW6:BY74 BW75:BW76</xm:sqref>
        </x14:conditionalFormatting>
        <x14:conditionalFormatting xmlns:xm="http://schemas.microsoft.com/office/excel/2006/main">
          <x14:cfRule type="expression" priority="220" id="{313274CE-A9F2-495A-8105-ED54E8F93F36}">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BZ77:CB93 BZ6:CB74 BZ75:BZ76</xm:sqref>
        </x14:conditionalFormatting>
        <x14:conditionalFormatting xmlns:xm="http://schemas.microsoft.com/office/excel/2006/main">
          <x14:cfRule type="expression" priority="219" id="{27534C75-9CB3-42A6-9C36-858F560D844D}">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CC77:CE93 CC6:CE74 CC75:CC76</xm:sqref>
        </x14:conditionalFormatting>
        <x14:conditionalFormatting xmlns:xm="http://schemas.microsoft.com/office/excel/2006/main">
          <x14:cfRule type="expression" priority="218" id="{E4D16269-BFA4-4A22-A070-6FA117A183F8}">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CF77:CH93 CF6:CH74 CF75:CF76</xm:sqref>
        </x14:conditionalFormatting>
        <x14:conditionalFormatting xmlns:xm="http://schemas.microsoft.com/office/excel/2006/main">
          <x14:cfRule type="expression" priority="217" id="{4F9D6491-2B24-45BF-8D64-4623B0D1F9C5}">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CI77:CK93 CI6:CK74 CI75:CI76</xm:sqref>
        </x14:conditionalFormatting>
        <x14:conditionalFormatting xmlns:xm="http://schemas.microsoft.com/office/excel/2006/main">
          <x14:cfRule type="expression" priority="216" id="{EC8155D6-1C70-45BE-AEE0-EB5AB124018F}">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CL77:CN93 CL6:CN74 CL75:CL76</xm:sqref>
        </x14:conditionalFormatting>
        <x14:conditionalFormatting xmlns:xm="http://schemas.microsoft.com/office/excel/2006/main">
          <x14:cfRule type="expression" priority="215" id="{56FD9EDF-A727-46C0-8F22-05DF082595DC}">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CO77:CQ93 CO6:CQ74 CO75:CO76</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1C50DD25-A806-4952-A74E-078356244332}">
          <x14:formula1>
            <xm:f>'CHARMS.Drop-down response lists'!$D$5:$D$15</xm:f>
          </x14:formula1>
          <xm:sqref>F51:CQ51</xm:sqref>
        </x14:dataValidation>
        <x14:dataValidation type="list" allowBlank="1" showInputMessage="1" showErrorMessage="1" xr:uid="{63976250-EB12-487B-B095-DDDE6122E953}">
          <x14:formula1>
            <xm:f>'CHARMS.Drop-down response lists'!$H$5:$H$17</xm:f>
          </x14:formula1>
          <xm:sqref>F80:CQ80</xm:sqref>
        </x14:dataValidation>
        <x14:dataValidation type="list" allowBlank="1" showInputMessage="1" showErrorMessage="1" xr:uid="{8C10184B-7270-4C35-94AF-747A9F06360D}">
          <x14:formula1>
            <xm:f>'CHARMS.Drop-down response lists'!$C$5:$C$13</xm:f>
          </x14:formula1>
          <xm:sqref>F33:CQ33</xm:sqref>
        </x14:dataValidation>
        <x14:dataValidation type="list" allowBlank="1" showInputMessage="1" showErrorMessage="1" xr:uid="{0C440344-2C8F-4476-995C-D07D5C15A026}">
          <x14:formula1>
            <xm:f>'CHARMS.Drop-down response lists'!$A$5:$A$20</xm:f>
          </x14:formula1>
          <xm:sqref>F14:CQ14</xm:sqref>
        </x14:dataValidation>
        <x14:dataValidation type="list" allowBlank="1" showInputMessage="1" showErrorMessage="1" xr:uid="{EFAB9E8D-14E5-47E8-9973-22B179676BF8}">
          <x14:formula1>
            <xm:f>'CHARMS.Drop-down response lists'!$B$5:$B$17</xm:f>
          </x14:formula1>
          <xm:sqref>H24:H28 K24:K28 N24:N28 Q24:Q28 T24:T28 W24:W28 Z24:Z28 AC24:AC28 AF24:AF28 AI24:AI28 AL24:AL28 AO24:AO28 AR24:AR28 AU24:AU28 AX24:AX28 BA24:BA28 BD24:BD28 BG24:BG28 BJ24:BJ28 BM24:BM28 BP24:BP28 BS24:BS28 BV24:BV28 BY24:BY28 CB24:CB28 CE24:CE28 CH24:CH28 CK24:CK28 CN24:CN28 CQ24:CQ28</xm:sqref>
        </x14:dataValidation>
        <x14:dataValidation type="list" allowBlank="1" showInputMessage="1" showErrorMessage="1" xr:uid="{4067B822-7218-4815-80CB-8E79E0A2E419}">
          <x14:formula1>
            <xm:f>'CHARMS.Drop-down response lists'!$J$5:$J$14</xm:f>
          </x14:formula1>
          <xm:sqref>F85:CQ85</xm:sqref>
        </x14:dataValidation>
        <x14:dataValidation type="list" allowBlank="1" showInputMessage="1" showErrorMessage="1" xr:uid="{99ADA6F1-800E-4C2F-B491-7698ADFAB5FC}">
          <x14:formula1>
            <xm:f>'CHARMS.Drop-down response lists'!$I$5:$I$18</xm:f>
          </x14:formula1>
          <xm:sqref>F81:CQ81</xm:sqref>
        </x14:dataValidation>
        <x14:dataValidation type="list" allowBlank="1" showInputMessage="1" showErrorMessage="1" xr:uid="{752FDA16-22D4-45C3-A789-6325C8D334FB}">
          <x14:formula1>
            <xm:f>'CHARMS.Drop-down response lists'!$K$5:$K$19</xm:f>
          </x14:formula1>
          <xm:sqref>F87:CQ87</xm:sqref>
        </x14:dataValidation>
        <x14:dataValidation type="list" allowBlank="1" showInputMessage="1" showErrorMessage="1" xr:uid="{F81D6C5F-CDA0-4E56-967B-036C5660725E}">
          <x14:formula1>
            <xm:f>'CHARMS.Drop-down response lists'!$F$5:$F$15</xm:f>
          </x14:formula1>
          <xm:sqref>F54:CQ54</xm:sqref>
        </x14:dataValidation>
        <x14:dataValidation type="list" allowBlank="1" showInputMessage="1" showErrorMessage="1" xr:uid="{5FF9D964-F2F2-4126-94B5-D7F95CD3D3EA}">
          <x14:formula1>
            <xm:f>'CHARMS.Drop-down response lists'!$G$5:$G$19</xm:f>
          </x14:formula1>
          <xm:sqref>F55:CQ55</xm:sqref>
        </x14:dataValidation>
        <x14:dataValidation type="list" allowBlank="1" showInputMessage="1" showErrorMessage="1" xr:uid="{29F18338-0F07-44C2-B013-1A36E33356F9}">
          <x14:formula1>
            <xm:f>'CHARMS.Drop-down response lists'!$E$5:$E$17</xm:f>
          </x14:formula1>
          <xm:sqref>I53:CQ53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
    <tabColor theme="4" tint="-0.499984740745262"/>
  </sheetPr>
  <dimension ref="A1:AE80"/>
  <sheetViews>
    <sheetView tabSelected="1" zoomScaleNormal="100" workbookViewId="0">
      <pane xSplit="1" ySplit="12" topLeftCell="B15" activePane="bottomRight" state="frozen"/>
      <selection pane="topRight" activeCell="B1" sqref="B1"/>
      <selection pane="bottomLeft" activeCell="A13" sqref="A13"/>
      <selection pane="bottomRight" activeCell="B20" sqref="B20"/>
    </sheetView>
  </sheetViews>
  <sheetFormatPr defaultColWidth="11.44140625" defaultRowHeight="14.4" x14ac:dyDescent="0.3"/>
  <cols>
    <col min="1" max="1" width="71.44140625" style="84" customWidth="1"/>
    <col min="2" max="31" width="40.77734375" style="82" customWidth="1"/>
    <col min="32" max="16384" width="11.44140625" style="82"/>
  </cols>
  <sheetData>
    <row r="1" spans="1:31" s="89" customFormat="1" x14ac:dyDescent="0.3">
      <c r="A1" s="88"/>
    </row>
    <row r="2" spans="1:31" s="89" customFormat="1" x14ac:dyDescent="0.3">
      <c r="A2" s="88"/>
    </row>
    <row r="3" spans="1:31" s="90" customFormat="1" ht="27" customHeight="1" x14ac:dyDescent="0.3">
      <c r="A3" s="173" t="s">
        <v>178</v>
      </c>
    </row>
    <row r="4" spans="1:31" s="90" customFormat="1" x14ac:dyDescent="0.3">
      <c r="A4" s="91"/>
    </row>
    <row r="5" spans="1:31" s="90" customFormat="1" ht="17.25" customHeight="1" thickBot="1" x14ac:dyDescent="0.35">
      <c r="A5" s="92" t="s">
        <v>179</v>
      </c>
    </row>
    <row r="6" spans="1:31" s="93" customFormat="1" ht="29.25" customHeight="1" x14ac:dyDescent="0.3">
      <c r="A6" s="60" t="s">
        <v>180</v>
      </c>
      <c r="B6" s="167" t="str">
        <f>IF(SUMMARY!C7="","",SUMMARY!I7)</f>
        <v>Bansal et al., 2020</v>
      </c>
      <c r="C6" s="167" t="str">
        <f>IF(SUMMARY!C8="","",SUMMARY!I8)</f>
        <v>Hamilton et al., 2021</v>
      </c>
      <c r="D6" s="167" t="str">
        <f>IF(SUMMARY!C9="","",SUMMARY!I9)</f>
        <v>Hamilton et al., 2022</v>
      </c>
      <c r="E6" s="167" t="str">
        <f>IF(SUMMARY!C10="","",SUMMARY!I10)</f>
        <v>Mortazavi et al., 2019</v>
      </c>
      <c r="F6" s="167" t="str">
        <f>IF(SUMMARY!C11="","",SUMMARY!I11)</f>
        <v>Kulkarni et al., 2021</v>
      </c>
      <c r="G6" s="167" t="str">
        <f>IF(SUMMARY!C12="","",SUMMARY!I12)</f>
        <v>Niimi et al., 2022</v>
      </c>
      <c r="H6" s="167" t="str">
        <f>IF(SUMMARY!C13="","",SUMMARY!I13)</f>
        <v>Rayfield et al., 2020</v>
      </c>
      <c r="I6" s="167" t="str">
        <f>IF(SUMMARY!C14="","",SUMMARY!I14)</f>
        <v>Zhao et al., 2023</v>
      </c>
      <c r="J6" s="167" t="str">
        <f>IF(SUMMARY!C15="","",SUMMARY!I15)</f>
        <v>Hurley et al., 2021</v>
      </c>
      <c r="K6" s="167" t="str">
        <f>IF(SUMMARY!C16="","",SUMMARY!I16)</f>
        <v/>
      </c>
      <c r="L6" s="167" t="str">
        <f>IF(SUMMARY!C17="","",SUMMARY!I17)</f>
        <v/>
      </c>
      <c r="M6" s="167" t="str">
        <f>IF(SUMMARY!C18="","",SUMMARY!I18)</f>
        <v/>
      </c>
      <c r="N6" s="167" t="str">
        <f>IF(SUMMARY!C19="","",SUMMARY!I19)</f>
        <v/>
      </c>
      <c r="O6" s="167" t="str">
        <f>IF(SUMMARY!C20="","",SUMMARY!I20)</f>
        <v/>
      </c>
      <c r="P6" s="167" t="str">
        <f>IF(SUMMARY!C21="","",SUMMARY!I21)</f>
        <v/>
      </c>
      <c r="Q6" s="167" t="str">
        <f>IF(SUMMARY!C22="","",SUMMARY!I22)</f>
        <v/>
      </c>
      <c r="R6" s="167" t="str">
        <f>IF(SUMMARY!C23="","",SUMMARY!I23)</f>
        <v/>
      </c>
      <c r="S6" s="167" t="str">
        <f>IF(SUMMARY!C24="","",SUMMARY!I24)</f>
        <v/>
      </c>
      <c r="T6" s="167" t="str">
        <f>IF(SUMMARY!C25="","",SUMMARY!I25)</f>
        <v/>
      </c>
      <c r="U6" s="167" t="str">
        <f>IF(SUMMARY!C26="","",SUMMARY!I26)</f>
        <v/>
      </c>
      <c r="V6" s="167" t="str">
        <f>IF(SUMMARY!C27="","",SUMMARY!I27)</f>
        <v/>
      </c>
      <c r="W6" s="167" t="str">
        <f>IF(SUMMARY!C28="","",SUMMARY!I28)</f>
        <v/>
      </c>
      <c r="X6" s="167" t="str">
        <f>IF(SUMMARY!C29="","",SUMMARY!I29)</f>
        <v/>
      </c>
      <c r="Y6" s="167" t="str">
        <f>IF(SUMMARY!C30="","",SUMMARY!I30)</f>
        <v/>
      </c>
      <c r="Z6" s="167" t="str">
        <f>IF(SUMMARY!C31="","",SUMMARY!I31)</f>
        <v/>
      </c>
      <c r="AA6" s="167" t="str">
        <f>IF(SUMMARY!C32="","",SUMMARY!I32)</f>
        <v/>
      </c>
      <c r="AB6" s="167" t="str">
        <f>IF(SUMMARY!C33="","",SUMMARY!I33)</f>
        <v/>
      </c>
      <c r="AC6" s="167" t="str">
        <f>IF(SUMMARY!C34="","",SUMMARY!I34)</f>
        <v/>
      </c>
      <c r="AD6" s="167" t="str">
        <f>IF(SUMMARY!C35="","",SUMMARY!I35)</f>
        <v/>
      </c>
      <c r="AE6" s="167" t="str">
        <f>IF(SUMMARY!C36="","",SUMMARY!I36)</f>
        <v/>
      </c>
    </row>
    <row r="7" spans="1:31" ht="18.75" customHeight="1" x14ac:dyDescent="0.3">
      <c r="A7" s="94" t="s">
        <v>35</v>
      </c>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row>
    <row r="8" spans="1:31" s="98" customFormat="1" ht="15" customHeight="1" x14ac:dyDescent="0.3">
      <c r="A8" s="96" t="s">
        <v>37</v>
      </c>
      <c r="B8" s="97" t="str">
        <f>IF(SUMMARY!$D7="","",SUMMARY!$D7)</f>
        <v>Bansal et al.</v>
      </c>
      <c r="C8" s="97" t="str">
        <f>IF(SUMMARY!$D8="","",SUMMARY!$D8)</f>
        <v>Hamilton et al.</v>
      </c>
      <c r="D8" s="97" t="str">
        <f>IF(SUMMARY!$D9="","",SUMMARY!$D9)</f>
        <v>Hamilton et al.</v>
      </c>
      <c r="E8" s="97" t="str">
        <f>IF(SUMMARY!$D10="","",SUMMARY!$D10)</f>
        <v>Mortazavi et al.</v>
      </c>
      <c r="F8" s="97" t="str">
        <f>IF(SUMMARY!$D11="","",SUMMARY!$D11)</f>
        <v>Kulkarni et al.</v>
      </c>
      <c r="G8" s="97" t="str">
        <f>IF(SUMMARY!$D12="","",SUMMARY!$D12)</f>
        <v>Niimi et al.</v>
      </c>
      <c r="H8" s="97" t="str">
        <f>IF(SUMMARY!$D13="","",SUMMARY!$D13)</f>
        <v>Rayfield et al.</v>
      </c>
      <c r="I8" s="97" t="str">
        <f>IF(SUMMARY!$D14="","",SUMMARY!$D14)</f>
        <v>Zhao et al.</v>
      </c>
      <c r="J8" s="97" t="str">
        <f>IF(SUMMARY!$D15="","",SUMMARY!$D15)</f>
        <v>Hurley et al.</v>
      </c>
      <c r="K8" s="97" t="str">
        <f>IF(SUMMARY!$D16="","",SUMMARY!$D16)</f>
        <v>Fernández-Hidalgo (a)</v>
      </c>
      <c r="L8" s="97" t="str">
        <f>IF(SUMMARY!$D17="","",SUMMARY!$D17)</f>
        <v>Fernández-Hidalgo (b)</v>
      </c>
      <c r="M8" s="97" t="str">
        <f>IF(SUMMARY!$D18="","",SUMMARY!$D18)</f>
        <v/>
      </c>
      <c r="N8" s="97" t="str">
        <f>IF(SUMMARY!$D19="","",SUMMARY!$D19)</f>
        <v/>
      </c>
      <c r="O8" s="97" t="str">
        <f>IF(SUMMARY!$D20="","",SUMMARY!$D20)</f>
        <v/>
      </c>
      <c r="P8" s="97" t="str">
        <f>IF(SUMMARY!$D21="","",SUMMARY!$D21)</f>
        <v/>
      </c>
      <c r="Q8" s="97" t="str">
        <f>IF(SUMMARY!$D22="","",SUMMARY!$D22)</f>
        <v/>
      </c>
      <c r="R8" s="97" t="str">
        <f>IF(SUMMARY!$D23="","",SUMMARY!$D23)</f>
        <v/>
      </c>
      <c r="S8" s="97" t="str">
        <f>IF(SUMMARY!$D24="","",SUMMARY!$D24)</f>
        <v/>
      </c>
      <c r="T8" s="97" t="str">
        <f>IF(SUMMARY!$D25="","",SUMMARY!$D25)</f>
        <v/>
      </c>
      <c r="U8" s="97" t="str">
        <f>IF(SUMMARY!$D26="","",SUMMARY!$D26)</f>
        <v/>
      </c>
      <c r="V8" s="97" t="str">
        <f>IF(SUMMARY!$D27="","",SUMMARY!$D27)</f>
        <v/>
      </c>
      <c r="W8" s="97" t="str">
        <f>IF(SUMMARY!$D28="","",SUMMARY!$D28)</f>
        <v/>
      </c>
      <c r="X8" s="97" t="str">
        <f>IF(SUMMARY!$D29="","",SUMMARY!$D29)</f>
        <v/>
      </c>
      <c r="Y8" s="97" t="str">
        <f>IF(SUMMARY!$D30="","",SUMMARY!$D30)</f>
        <v/>
      </c>
      <c r="Z8" s="97" t="str">
        <f>IF(SUMMARY!$D31="","",SUMMARY!$D31)</f>
        <v/>
      </c>
      <c r="AA8" s="97" t="str">
        <f>IF(SUMMARY!$D32="","",SUMMARY!$D32)</f>
        <v/>
      </c>
      <c r="AB8" s="97" t="str">
        <f>IF(SUMMARY!$D33="","",SUMMARY!$D33)</f>
        <v/>
      </c>
      <c r="AC8" s="97" t="str">
        <f>IF(SUMMARY!$D34="","",SUMMARY!$D34)</f>
        <v/>
      </c>
      <c r="AD8" s="97" t="str">
        <f>IF(SUMMARY!$D35="","",SUMMARY!$D35)</f>
        <v/>
      </c>
      <c r="AE8" s="97" t="str">
        <f>IF(SUMMARY!$D36="","",SUMMARY!$D36)</f>
        <v/>
      </c>
    </row>
    <row r="9" spans="1:31" s="98" customFormat="1" ht="15" customHeight="1" x14ac:dyDescent="0.3">
      <c r="A9" s="99" t="s">
        <v>38</v>
      </c>
      <c r="B9" s="100">
        <f>IF(SUMMARY!$E7="","",SUMMARY!$E7)</f>
        <v>2020</v>
      </c>
      <c r="C9" s="100">
        <f>IF(SUMMARY!$E8="","",SUMMARY!$E8)</f>
        <v>2021</v>
      </c>
      <c r="D9" s="100">
        <f>IF(SUMMARY!$E9="","",SUMMARY!$E9)</f>
        <v>2022</v>
      </c>
      <c r="E9" s="100">
        <f>IF(SUMMARY!$E10="","",SUMMARY!$E10)</f>
        <v>2019</v>
      </c>
      <c r="F9" s="100">
        <f>IF(SUMMARY!$E11="","",SUMMARY!$E11)</f>
        <v>2021</v>
      </c>
      <c r="G9" s="100">
        <f>IF(SUMMARY!$E12="","",SUMMARY!$E12)</f>
        <v>2022</v>
      </c>
      <c r="H9" s="100">
        <f>IF(SUMMARY!$E13="","",SUMMARY!$E13)</f>
        <v>2020</v>
      </c>
      <c r="I9" s="100">
        <f>IF(SUMMARY!$E14="","",SUMMARY!$E14)</f>
        <v>2023</v>
      </c>
      <c r="J9" s="100">
        <f>IF(SUMMARY!$E15="","",SUMMARY!$E15)</f>
        <v>2021</v>
      </c>
      <c r="K9" s="100">
        <f>IF(SUMMARY!$E16="","",SUMMARY!$E16)</f>
        <v>2018</v>
      </c>
      <c r="L9" s="100">
        <f>IF(SUMMARY!$E17="","",SUMMARY!$E17)</f>
        <v>2018</v>
      </c>
      <c r="M9" s="100" t="str">
        <f>IF(SUMMARY!$E18="","",SUMMARY!$E18)</f>
        <v/>
      </c>
      <c r="N9" s="100" t="str">
        <f>IF(SUMMARY!$E19="","",SUMMARY!$E19)</f>
        <v/>
      </c>
      <c r="O9" s="100" t="str">
        <f>IF(SUMMARY!$E20="","",SUMMARY!$E20)</f>
        <v/>
      </c>
      <c r="P9" s="100" t="str">
        <f>IF(SUMMARY!$E21="","",SUMMARY!$E21)</f>
        <v/>
      </c>
      <c r="Q9" s="100" t="str">
        <f>IF(SUMMARY!$E22="","",SUMMARY!$E22)</f>
        <v/>
      </c>
      <c r="R9" s="100" t="str">
        <f>IF(SUMMARY!$E23="","",SUMMARY!$E23)</f>
        <v/>
      </c>
      <c r="S9" s="100" t="str">
        <f>IF(SUMMARY!$E24="","",SUMMARY!$E24)</f>
        <v/>
      </c>
      <c r="T9" s="100" t="str">
        <f>IF(SUMMARY!$E25="","",SUMMARY!$E25)</f>
        <v/>
      </c>
      <c r="U9" s="100" t="str">
        <f>IF(SUMMARY!$E26="","",SUMMARY!$E26)</f>
        <v/>
      </c>
      <c r="V9" s="100" t="str">
        <f>IF(SUMMARY!$E27="","",SUMMARY!$E27)</f>
        <v/>
      </c>
      <c r="W9" s="100" t="str">
        <f>IF(SUMMARY!$E28="","",SUMMARY!$E28)</f>
        <v/>
      </c>
      <c r="X9" s="100" t="str">
        <f>IF(SUMMARY!$E29="","",SUMMARY!$E29)</f>
        <v/>
      </c>
      <c r="Y9" s="100" t="str">
        <f>IF(SUMMARY!$E30="","",SUMMARY!$E30)</f>
        <v/>
      </c>
      <c r="Z9" s="100" t="str">
        <f>IF(SUMMARY!$E31="","",SUMMARY!$E31)</f>
        <v/>
      </c>
      <c r="AA9" s="100" t="str">
        <f>IF(SUMMARY!$E32="","",SUMMARY!$E32)</f>
        <v/>
      </c>
      <c r="AB9" s="100" t="str">
        <f>IF(SUMMARY!$E33="","",SUMMARY!$E33)</f>
        <v/>
      </c>
      <c r="AC9" s="100" t="str">
        <f>IF(SUMMARY!$E34="","",SUMMARY!$E34)</f>
        <v/>
      </c>
      <c r="AD9" s="100" t="str">
        <f>IF(SUMMARY!$E35="","",SUMMARY!$E35)</f>
        <v/>
      </c>
      <c r="AE9" s="100" t="str">
        <f>IF(SUMMARY!$E36="","",SUMMARY!$E36)</f>
        <v/>
      </c>
    </row>
    <row r="10" spans="1:31" s="98" customFormat="1" ht="15" customHeight="1" x14ac:dyDescent="0.3">
      <c r="A10" s="99" t="s">
        <v>39</v>
      </c>
      <c r="B10" s="187" t="str">
        <f>IF(SUMMARY!$F7="","",SUMMARY!$F7)</f>
        <v>MACHINE LEARNING TECHNIQUES TO PREDICT IN-HOSPITAL CARDIOVASCULAR OUTCOMES IN ELDERLY PATIENTS PRESENTING WITH ACUTE MYOCARDIAL INFARCTION</v>
      </c>
      <c r="C10" s="187" t="str">
        <f>IF(SUMMARY!$F8="","",SUMMARY!$F8)</f>
        <v>A novel tool for highly reliable and accurate prediction of multiple complications in patients undergoing percutaneous coronary intervention</v>
      </c>
      <c r="D10" s="187" t="str">
        <f>IF(SUMMARY!$F9="","",SUMMARY!$F9)</f>
        <v>Merging Machine Learning and Patient Preference: A Contemporary, Comprehensive, Patient-Centered Tool for Risk Prediction Prior to Percutaneous Coronary Intervention</v>
      </c>
      <c r="E10" s="187" t="str">
        <f>IF(SUMMARY!$F10="","",SUMMARY!$F10)</f>
        <v>Comparison of Machine Learning Methods With National Cardiovascular Data Registry Models for Prediction of Risk of Bleeding After Percutaneous Coronary Intervention</v>
      </c>
      <c r="F10" s="187" t="str">
        <f>IF(SUMMARY!$F11="","",SUMMARY!$F11)</f>
        <v>Artificial intelligence in percutaneous coronary intervention: improved risk prediction of PCI-related complications using an artificial neural network</v>
      </c>
      <c r="G10" s="187" t="str">
        <f>IF(SUMMARY!$F12="","",SUMMARY!$F12)</f>
        <v>Machine learning models for prediction of adverse events after percutaneous coronary intervention</v>
      </c>
      <c r="H10" s="187" t="str">
        <f>IF(SUMMARY!$F13="","",SUMMARY!$F13)</f>
        <v>Machine learning on high-dimensional data to predict bleeding post percutaneous coronary intervention</v>
      </c>
      <c r="I10" s="187" t="str">
        <f>IF(SUMMARY!$F14="","",SUMMARY!$F14)</f>
        <v>Machine learning for prediction of bleeding in acute myocardial infarction patients after percutaneous coronary intervention</v>
      </c>
      <c r="J10" s="187" t="str">
        <f>IF(SUMMARY!$F15="","",SUMMARY!$F15)</f>
        <v>A dynamic model to estimate evolving risk of major bleeding after percutaneous coronary intervention</v>
      </c>
      <c r="K10" s="187" t="str">
        <f>IF(SUMMARY!$F16="","",SUMMARY!$F16)</f>
        <v>A pragmatic approach for mortality prediction after surgery in infective endocarditis: optimizing and refining EuroSCORE</v>
      </c>
      <c r="L10" s="187" t="str">
        <f>IF(SUMMARY!$F17="","",SUMMARY!$F17)</f>
        <v>A pragmatic approach for mortality prediction after surgery in infective endocarditis: optimizing and refining EuroSCORE</v>
      </c>
      <c r="M10" s="187" t="str">
        <f>IF(SUMMARY!$F18="","",SUMMARY!$F18)</f>
        <v/>
      </c>
      <c r="N10" s="187" t="str">
        <f>IF(SUMMARY!$F19="","",SUMMARY!$F19)</f>
        <v/>
      </c>
      <c r="O10" s="187" t="str">
        <f>IF(SUMMARY!$F20="","",SUMMARY!$F20)</f>
        <v/>
      </c>
      <c r="P10" s="187" t="str">
        <f>IF(SUMMARY!$F21="","",SUMMARY!$F21)</f>
        <v/>
      </c>
      <c r="Q10" s="187" t="str">
        <f>IF(SUMMARY!$F22="","",SUMMARY!$F22)</f>
        <v/>
      </c>
      <c r="R10" s="187" t="str">
        <f>IF(SUMMARY!$F23="","",SUMMARY!$F23)</f>
        <v/>
      </c>
      <c r="S10" s="187" t="str">
        <f>IF(SUMMARY!$F24="","",SUMMARY!$F24)</f>
        <v/>
      </c>
      <c r="T10" s="187" t="str">
        <f>IF(SUMMARY!$F25="","",SUMMARY!$F25)</f>
        <v/>
      </c>
      <c r="U10" s="187" t="str">
        <f>IF(SUMMARY!$F26="","",SUMMARY!$F26)</f>
        <v/>
      </c>
      <c r="V10" s="187" t="str">
        <f>IF(SUMMARY!$F27="","",SUMMARY!$F27)</f>
        <v/>
      </c>
      <c r="W10" s="187" t="str">
        <f>IF(SUMMARY!$F28="","",SUMMARY!$F28)</f>
        <v/>
      </c>
      <c r="X10" s="187" t="str">
        <f>IF(SUMMARY!$F29="","",SUMMARY!$F29)</f>
        <v/>
      </c>
      <c r="Y10" s="187" t="str">
        <f>IF(SUMMARY!$F30="","",SUMMARY!$F30)</f>
        <v/>
      </c>
      <c r="Z10" s="187" t="str">
        <f>IF(SUMMARY!$F31="","",SUMMARY!$F31)</f>
        <v/>
      </c>
      <c r="AA10" s="187" t="str">
        <f>IF(SUMMARY!$F32="","",SUMMARY!$F32)</f>
        <v/>
      </c>
      <c r="AB10" s="187" t="str">
        <f>IF(SUMMARY!$F33="","",SUMMARY!$F33)</f>
        <v/>
      </c>
      <c r="AC10" s="187" t="str">
        <f>IF(SUMMARY!$F34="","",SUMMARY!$F34)</f>
        <v/>
      </c>
      <c r="AD10" s="187" t="str">
        <f>IF(SUMMARY!$F35="","",SUMMARY!$F35)</f>
        <v/>
      </c>
      <c r="AE10" s="187" t="str">
        <f>IF(SUMMARY!$F36="","",SUMMARY!$F36)</f>
        <v/>
      </c>
    </row>
    <row r="11" spans="1:31" s="98" customFormat="1" ht="15" customHeight="1" x14ac:dyDescent="0.3">
      <c r="A11" s="99" t="s">
        <v>40</v>
      </c>
      <c r="B11" s="100" t="str">
        <f>IF(SUMMARY!$G7="","",SUMMARY!$G7)</f>
        <v xml:space="preserve">Journal of the American College of Cardiology </v>
      </c>
      <c r="C11" s="100" t="str">
        <f>IF(SUMMARY!$G8="","",SUMMARY!$G8)</f>
        <v>Circulation</v>
      </c>
      <c r="D11" s="100" t="str">
        <f>IF(SUMMARY!$G9="","",SUMMARY!$G9)</f>
        <v>Circulation</v>
      </c>
      <c r="E11" s="100" t="str">
        <f>IF(SUMMARY!$G10="","",SUMMARY!$G10)</f>
        <v>JAMA network open</v>
      </c>
      <c r="F11" s="100" t="str">
        <f>IF(SUMMARY!$G11="","",SUMMARY!$G11)</f>
        <v>BMJ Innovations</v>
      </c>
      <c r="G11" s="100" t="str">
        <f>IF(SUMMARY!$G12="","",SUMMARY!$G12)</f>
        <v>Scientific Reports</v>
      </c>
      <c r="H11" s="100" t="str">
        <f>IF(SUMMARY!$G13="","",SUMMARY!$G13)</f>
        <v>Journal of Invasive Cardiology</v>
      </c>
      <c r="I11" s="100" t="str">
        <f>IF(SUMMARY!$G14="","",SUMMARY!$G14)</f>
        <v>Therapeutic advances in chronic disease</v>
      </c>
      <c r="J11" s="100" t="str">
        <f>IF(SUMMARY!$G15="","",SUMMARY!$G15)</f>
        <v>medRxiv</v>
      </c>
      <c r="K11" s="100" t="str">
        <f>IF(SUMMARY!$G16="","",SUMMARY!$G16)</f>
        <v>Clinical Microbiology and Infection</v>
      </c>
      <c r="L11" s="100" t="str">
        <f>IF(SUMMARY!$G17="","",SUMMARY!$G17)</f>
        <v>Clinical Microbiology and Infection</v>
      </c>
      <c r="M11" s="100" t="str">
        <f>IF(SUMMARY!$G18="","",SUMMARY!$G18)</f>
        <v/>
      </c>
      <c r="N11" s="100" t="str">
        <f>IF(SUMMARY!$G19="","",SUMMARY!$G19)</f>
        <v/>
      </c>
      <c r="O11" s="100" t="str">
        <f>IF(SUMMARY!$G20="","",SUMMARY!$G20)</f>
        <v/>
      </c>
      <c r="P11" s="100" t="str">
        <f>IF(SUMMARY!$G21="","",SUMMARY!$G21)</f>
        <v/>
      </c>
      <c r="Q11" s="100" t="str">
        <f>IF(SUMMARY!$G22="","",SUMMARY!$G22)</f>
        <v/>
      </c>
      <c r="R11" s="100" t="str">
        <f>IF(SUMMARY!$G23="","",SUMMARY!$G23)</f>
        <v/>
      </c>
      <c r="S11" s="100" t="str">
        <f>IF(SUMMARY!$G24="","",SUMMARY!$G24)</f>
        <v/>
      </c>
      <c r="T11" s="100" t="str">
        <f>IF(SUMMARY!$G25="","",SUMMARY!$G25)</f>
        <v/>
      </c>
      <c r="U11" s="100" t="str">
        <f>IF(SUMMARY!$G26="","",SUMMARY!$G26)</f>
        <v/>
      </c>
      <c r="V11" s="100" t="str">
        <f>IF(SUMMARY!$G27="","",SUMMARY!$G27)</f>
        <v/>
      </c>
      <c r="W11" s="100" t="str">
        <f>IF(SUMMARY!$G28="","",SUMMARY!$G28)</f>
        <v/>
      </c>
      <c r="X11" s="100" t="str">
        <f>IF(SUMMARY!$G29="","",SUMMARY!$G29)</f>
        <v/>
      </c>
      <c r="Y11" s="100" t="str">
        <f>IF(SUMMARY!$G30="","",SUMMARY!$G30)</f>
        <v/>
      </c>
      <c r="Z11" s="100" t="str">
        <f>IF(SUMMARY!$G31="","",SUMMARY!$G31)</f>
        <v/>
      </c>
      <c r="AA11" s="100" t="str">
        <f>IF(SUMMARY!$G32="","",SUMMARY!$G32)</f>
        <v/>
      </c>
      <c r="AB11" s="100" t="str">
        <f>IF(SUMMARY!$G33="","",SUMMARY!$G33)</f>
        <v/>
      </c>
      <c r="AC11" s="100" t="str">
        <f>IF(SUMMARY!$G34="","",SUMMARY!$G34)</f>
        <v/>
      </c>
      <c r="AD11" s="100" t="str">
        <f>IF(SUMMARY!$G35="","",SUMMARY!$G35)</f>
        <v/>
      </c>
      <c r="AE11" s="100" t="str">
        <f>IF(SUMMARY!$G36="","",SUMMARY!$G36)</f>
        <v/>
      </c>
    </row>
    <row r="12" spans="1:31" s="98" customFormat="1" ht="15" customHeight="1" x14ac:dyDescent="0.3">
      <c r="A12" s="101" t="s">
        <v>41</v>
      </c>
      <c r="B12" s="102" t="str">
        <f>IF(SUMMARY!$H7="","",SUMMARY!$H7)</f>
        <v>XGBoost</v>
      </c>
      <c r="C12" s="102" t="str">
        <f>IF(SUMMARY!$H8="","",SUMMARY!$H8)</f>
        <v>Random Forest</v>
      </c>
      <c r="D12" s="102" t="str">
        <f>IF(SUMMARY!$H9="","",SUMMARY!$H9)</f>
        <v>XGBoost</v>
      </c>
      <c r="E12" s="102" t="str">
        <f>IF(SUMMARY!$H10="","",SUMMARY!$H10)</f>
        <v>Blended model with gradient descent boosting</v>
      </c>
      <c r="F12" s="102" t="str">
        <f>IF(SUMMARY!$H11="","",SUMMARY!$H11)</f>
        <v>MLP</v>
      </c>
      <c r="G12" s="102" t="str">
        <f>IF(SUMMARY!$H12="","",SUMMARY!$H12)</f>
        <v>XGBoost</v>
      </c>
      <c r="H12" s="102" t="str">
        <f>IF(SUMMARY!$H13="","",SUMMARY!$H13)</f>
        <v>AI-BR model</v>
      </c>
      <c r="I12" s="102" t="str">
        <f>IF(SUMMARY!$H14="","",SUMMARY!$H14)</f>
        <v>XGBoost</v>
      </c>
      <c r="J12" s="102" t="str">
        <f>IF(SUMMARY!$H15="","",SUMMARY!$H15)</f>
        <v>XGBoost</v>
      </c>
      <c r="K12" s="102" t="str">
        <f>IF(SUMMARY!$H16="","",SUMMARY!$H16)</f>
        <v>Specific EuroSCORE-I</v>
      </c>
      <c r="L12" s="102" t="str">
        <f>IF(SUMMARY!$H17="","",SUMMARY!$H17)</f>
        <v>Specific EuroSCORE-II</v>
      </c>
      <c r="M12" s="102" t="str">
        <f>IF(SUMMARY!$H18="","",SUMMARY!$H18)</f>
        <v/>
      </c>
      <c r="N12" s="102" t="str">
        <f>IF(SUMMARY!$H19="","",SUMMARY!$H19)</f>
        <v/>
      </c>
      <c r="O12" s="102" t="str">
        <f>IF(SUMMARY!$H20="","",SUMMARY!$H20)</f>
        <v/>
      </c>
      <c r="P12" s="102" t="str">
        <f>IF(SUMMARY!$H21="","",SUMMARY!$H21)</f>
        <v/>
      </c>
      <c r="Q12" s="102" t="str">
        <f>IF(SUMMARY!$H22="","",SUMMARY!$H22)</f>
        <v/>
      </c>
      <c r="R12" s="102" t="str">
        <f>IF(SUMMARY!$H23="","",SUMMARY!$H23)</f>
        <v/>
      </c>
      <c r="S12" s="102" t="str">
        <f>IF(SUMMARY!$H24="","",SUMMARY!$H24)</f>
        <v/>
      </c>
      <c r="T12" s="102" t="str">
        <f>IF(SUMMARY!$H25="","",SUMMARY!$H25)</f>
        <v/>
      </c>
      <c r="U12" s="102" t="str">
        <f>IF(SUMMARY!$H26="","",SUMMARY!$H26)</f>
        <v/>
      </c>
      <c r="V12" s="102" t="str">
        <f>IF(SUMMARY!$H27="","",SUMMARY!$H27)</f>
        <v/>
      </c>
      <c r="W12" s="102" t="str">
        <f>IF(SUMMARY!$H28="","",SUMMARY!$H28)</f>
        <v/>
      </c>
      <c r="X12" s="102" t="str">
        <f>IF(SUMMARY!$H29="","",SUMMARY!$H29)</f>
        <v/>
      </c>
      <c r="Y12" s="102" t="str">
        <f>IF(SUMMARY!$H30="","",SUMMARY!$H30)</f>
        <v/>
      </c>
      <c r="Z12" s="102" t="str">
        <f>IF(SUMMARY!$H31="","",SUMMARY!$H31)</f>
        <v/>
      </c>
      <c r="AA12" s="102" t="str">
        <f>IF(SUMMARY!$H32="","",SUMMARY!$H32)</f>
        <v/>
      </c>
      <c r="AB12" s="102" t="str">
        <f>IF(SUMMARY!$H33="","",SUMMARY!$H33)</f>
        <v/>
      </c>
      <c r="AC12" s="102" t="str">
        <f>IF(SUMMARY!$H34="","",SUMMARY!$H34)</f>
        <v/>
      </c>
      <c r="AD12" s="102" t="str">
        <f>IF(SUMMARY!$H35="","",SUMMARY!$H35)</f>
        <v/>
      </c>
      <c r="AE12" s="102" t="str">
        <f>IF(SUMMARY!$H36="","",SUMMARY!$H36)</f>
        <v/>
      </c>
    </row>
    <row r="13" spans="1:31" ht="18.75" customHeight="1" x14ac:dyDescent="0.3">
      <c r="A13" s="94" t="s">
        <v>181</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row>
    <row r="14" spans="1:31" s="104" customFormat="1" ht="15" customHeight="1" x14ac:dyDescent="0.3">
      <c r="A14" s="103" t="s">
        <v>182</v>
      </c>
      <c r="B14" s="27" t="s">
        <v>183</v>
      </c>
      <c r="C14" s="27" t="s">
        <v>183</v>
      </c>
      <c r="D14" s="27" t="s">
        <v>183</v>
      </c>
      <c r="E14" s="27" t="s">
        <v>183</v>
      </c>
      <c r="F14" s="27" t="s">
        <v>183</v>
      </c>
      <c r="G14" s="27" t="s">
        <v>183</v>
      </c>
      <c r="H14" s="27" t="s">
        <v>183</v>
      </c>
      <c r="I14" s="27" t="s">
        <v>183</v>
      </c>
      <c r="J14" s="27" t="s">
        <v>183</v>
      </c>
      <c r="K14" s="27" t="s">
        <v>183</v>
      </c>
      <c r="L14" s="27" t="s">
        <v>183</v>
      </c>
      <c r="M14" s="27"/>
      <c r="N14" s="27"/>
      <c r="O14" s="27"/>
      <c r="P14" s="27"/>
      <c r="Q14" s="27"/>
      <c r="R14" s="27"/>
      <c r="S14" s="27"/>
      <c r="T14" s="27"/>
      <c r="U14" s="27"/>
      <c r="V14" s="27"/>
      <c r="W14" s="27"/>
      <c r="X14" s="27"/>
      <c r="Y14" s="27"/>
      <c r="Z14" s="27"/>
      <c r="AA14" s="27"/>
      <c r="AB14" s="27"/>
      <c r="AC14" s="27"/>
      <c r="AD14" s="27"/>
      <c r="AE14" s="27"/>
    </row>
    <row r="15" spans="1:31" s="104" customFormat="1" ht="15" customHeight="1" x14ac:dyDescent="0.3">
      <c r="A15" s="105" t="s">
        <v>184</v>
      </c>
      <c r="B15" s="28" t="s">
        <v>183</v>
      </c>
      <c r="C15" s="28" t="s">
        <v>186</v>
      </c>
      <c r="D15" s="28" t="s">
        <v>186</v>
      </c>
      <c r="E15" s="28" t="s">
        <v>83</v>
      </c>
      <c r="F15" s="28" t="s">
        <v>186</v>
      </c>
      <c r="G15" s="28" t="s">
        <v>183</v>
      </c>
      <c r="H15" s="28" t="s">
        <v>183</v>
      </c>
      <c r="I15" s="28" t="s">
        <v>183</v>
      </c>
      <c r="J15" s="28" t="s">
        <v>183</v>
      </c>
      <c r="K15" s="28" t="s">
        <v>183</v>
      </c>
      <c r="L15" s="28" t="s">
        <v>183</v>
      </c>
      <c r="M15" s="28"/>
      <c r="N15" s="28"/>
      <c r="O15" s="28"/>
      <c r="P15" s="28"/>
      <c r="Q15" s="28"/>
      <c r="R15" s="28"/>
      <c r="S15" s="28"/>
      <c r="T15" s="28"/>
      <c r="U15" s="28"/>
      <c r="V15" s="28"/>
      <c r="W15" s="28"/>
      <c r="X15" s="28"/>
      <c r="Y15" s="28"/>
      <c r="Z15" s="28"/>
      <c r="AA15" s="28"/>
      <c r="AB15" s="28"/>
      <c r="AC15" s="28"/>
      <c r="AD15" s="28"/>
      <c r="AE15" s="28"/>
    </row>
    <row r="16" spans="1:31" s="83" customFormat="1" ht="18.75" customHeight="1" x14ac:dyDescent="0.3">
      <c r="A16" s="106" t="s">
        <v>187</v>
      </c>
      <c r="B16" s="33" t="s">
        <v>189</v>
      </c>
      <c r="C16" s="33" t="s">
        <v>58</v>
      </c>
      <c r="D16" s="33" t="s">
        <v>58</v>
      </c>
      <c r="E16" s="33" t="s">
        <v>189</v>
      </c>
      <c r="F16" s="33" t="s">
        <v>58</v>
      </c>
      <c r="G16" s="33" t="s">
        <v>189</v>
      </c>
      <c r="H16" s="33" t="s">
        <v>189</v>
      </c>
      <c r="I16" s="33" t="s">
        <v>189</v>
      </c>
      <c r="J16" s="33" t="s">
        <v>189</v>
      </c>
      <c r="K16" s="33" t="s">
        <v>189</v>
      </c>
      <c r="L16" s="33" t="s">
        <v>189</v>
      </c>
      <c r="M16" s="33"/>
      <c r="N16" s="33"/>
      <c r="O16" s="33"/>
      <c r="P16" s="33"/>
      <c r="Q16" s="33"/>
      <c r="R16" s="33"/>
      <c r="S16" s="33"/>
      <c r="T16" s="33"/>
      <c r="U16" s="33"/>
      <c r="V16" s="33"/>
      <c r="W16" s="33"/>
      <c r="X16" s="33"/>
      <c r="Y16" s="33"/>
      <c r="Z16" s="33"/>
      <c r="AA16" s="33"/>
      <c r="AB16" s="33"/>
      <c r="AC16" s="33"/>
      <c r="AD16" s="33"/>
      <c r="AE16" s="33"/>
    </row>
    <row r="17" spans="1:31" s="83" customFormat="1" ht="18.75" customHeight="1" x14ac:dyDescent="0.3">
      <c r="A17" s="107" t="s">
        <v>190</v>
      </c>
      <c r="B17" s="34" t="s">
        <v>192</v>
      </c>
      <c r="C17" s="34" t="s">
        <v>58</v>
      </c>
      <c r="D17" s="34" t="s">
        <v>58</v>
      </c>
      <c r="E17" s="34" t="s">
        <v>191</v>
      </c>
      <c r="F17" s="34" t="s">
        <v>58</v>
      </c>
      <c r="G17" s="34" t="s">
        <v>191</v>
      </c>
      <c r="H17" s="34" t="s">
        <v>191</v>
      </c>
      <c r="I17" s="34" t="s">
        <v>191</v>
      </c>
      <c r="J17" s="34" t="s">
        <v>191</v>
      </c>
      <c r="K17" s="34" t="s">
        <v>191</v>
      </c>
      <c r="L17" s="34" t="s">
        <v>191</v>
      </c>
      <c r="M17" s="34"/>
      <c r="N17" s="34"/>
      <c r="O17" s="34"/>
      <c r="P17" s="34"/>
      <c r="Q17" s="34"/>
      <c r="R17" s="34"/>
      <c r="S17" s="34"/>
      <c r="T17" s="34"/>
      <c r="U17" s="34"/>
      <c r="V17" s="34"/>
      <c r="W17" s="34"/>
      <c r="X17" s="34"/>
      <c r="Y17" s="34"/>
      <c r="Z17" s="34"/>
      <c r="AA17" s="34"/>
      <c r="AB17" s="34"/>
      <c r="AC17" s="34"/>
      <c r="AD17" s="34"/>
      <c r="AE17" s="34"/>
    </row>
    <row r="18" spans="1:31" s="83" customFormat="1" ht="15" customHeight="1" x14ac:dyDescent="0.3">
      <c r="A18" s="108" t="s">
        <v>193</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row>
    <row r="19" spans="1:31" s="83" customFormat="1" ht="15" customHeight="1" x14ac:dyDescent="0.3">
      <c r="A19" s="110" t="s">
        <v>194</v>
      </c>
      <c r="B19" s="111" t="str">
        <f>IF(HLOOKUP(B$6,CHARMS!$A$6:$CQ$92,9,)&lt;&gt;0,HLOOKUP(B$6,CHARMS!$A$6:$CQ$92,9,),"")</f>
        <v>Existing registry</v>
      </c>
      <c r="C19" s="111" t="str">
        <f>IF(HLOOKUP(C$6,CHARMS!$A$6:$CQ$92,9,)&lt;&gt;0,HLOOKUP(C$6,CHARMS!$A$6:$CQ$92,9,),"")</f>
        <v>Existing registry</v>
      </c>
      <c r="D19" s="111" t="str">
        <f>IF(HLOOKUP(D$6,CHARMS!$A$6:$CQ$92,9,)&lt;&gt;0,HLOOKUP(D$6,CHARMS!$A$6:$CQ$92,9,),"")</f>
        <v>Existing registry</v>
      </c>
      <c r="E19" s="111" t="str">
        <f>IF(HLOOKUP(E$6,CHARMS!$A$6:$CQ$92,9,)&lt;&gt;0,HLOOKUP(E$6,CHARMS!$A$6:$CQ$92,9,),"")</f>
        <v>Existing registry</v>
      </c>
      <c r="F19" s="111" t="str">
        <f>IF(HLOOKUP(F$6,CHARMS!$A$6:$CQ$92,9,)&lt;&gt;0,HLOOKUP(F$6,CHARMS!$A$6:$CQ$92,9,),"")</f>
        <v>Existing registry</v>
      </c>
      <c r="G19" s="111" t="str">
        <f>IF(HLOOKUP(G$6,CHARMS!$A$6:$CQ$92,9,)&lt;&gt;0,HLOOKUP(G$6,CHARMS!$A$6:$CQ$92,9,),"")</f>
        <v>Existing registry</v>
      </c>
      <c r="H19" s="111" t="str">
        <f>IF(HLOOKUP(H$6,CHARMS!$A$6:$CQ$92,9,)&lt;&gt;0,HLOOKUP(H$6,CHARMS!$A$6:$CQ$92,9,),"")</f>
        <v>Existing registry</v>
      </c>
      <c r="I19" s="111" t="str">
        <f>IF(HLOOKUP(I$6,CHARMS!$A$6:$CQ$92,9,)&lt;&gt;0,HLOOKUP(I$6,CHARMS!$A$6:$CQ$92,9,),"")</f>
        <v>Existing registry</v>
      </c>
      <c r="J19" s="111" t="str">
        <f>IF(HLOOKUP(J$6,CHARMS!$A$6:$CQ$92,9,)&lt;&gt;0,HLOOKUP(J$6,CHARMS!$A$6:$CQ$92,9,),"")</f>
        <v>Existing registry</v>
      </c>
      <c r="K19" s="111" t="str">
        <f>IF(HLOOKUP(K$6,CHARMS!$A$6:$CQ$92,9,)&lt;&gt;0,HLOOKUP(K$6,CHARMS!$A$6:$CQ$92,9,),"")</f>
        <v>Retrospective cohort</v>
      </c>
      <c r="L19" s="111" t="str">
        <f>IF(HLOOKUP(L$6,CHARMS!$A$6:$CQ$92,9,)&lt;&gt;0,HLOOKUP(L$6,CHARMS!$A$6:$CQ$92,9,),"")</f>
        <v>Retrospective cohort</v>
      </c>
      <c r="M19" s="111" t="str">
        <f>IF(HLOOKUP(M$6,CHARMS!$A$6:$CQ$92,9,)&lt;&gt;0,HLOOKUP(M$6,CHARMS!$A$6:$CQ$92,9,),"")</f>
        <v>Retrospective cohort</v>
      </c>
      <c r="N19" s="111" t="str">
        <f>IF(HLOOKUP(N$6,CHARMS!$A$6:$CQ$92,9,)&lt;&gt;0,HLOOKUP(N$6,CHARMS!$A$6:$CQ$92,9,),"")</f>
        <v>Retrospective cohort</v>
      </c>
      <c r="O19" s="111" t="str">
        <f>IF(HLOOKUP(O$6,CHARMS!$A$6:$CQ$92,9,)&lt;&gt;0,HLOOKUP(O$6,CHARMS!$A$6:$CQ$92,9,),"")</f>
        <v>Retrospective cohort</v>
      </c>
      <c r="P19" s="111" t="str">
        <f>IF(HLOOKUP(P$6,CHARMS!$A$6:$CQ$92,9,)&lt;&gt;0,HLOOKUP(P$6,CHARMS!$A$6:$CQ$92,9,),"")</f>
        <v>Retrospective cohort</v>
      </c>
      <c r="Q19" s="111" t="str">
        <f>IF(HLOOKUP(Q$6,CHARMS!$A$6:$CQ$92,9,)&lt;&gt;0,HLOOKUP(Q$6,CHARMS!$A$6:$CQ$92,9,),"")</f>
        <v>Retrospective cohort</v>
      </c>
      <c r="R19" s="111" t="str">
        <f>IF(HLOOKUP(R$6,CHARMS!$A$6:$CQ$92,9,)&lt;&gt;0,HLOOKUP(R$6,CHARMS!$A$6:$CQ$92,9,),"")</f>
        <v>Retrospective cohort</v>
      </c>
      <c r="S19" s="111" t="str">
        <f>IF(HLOOKUP(S$6,CHARMS!$A$6:$CQ$92,9,)&lt;&gt;0,HLOOKUP(S$6,CHARMS!$A$6:$CQ$92,9,),"")</f>
        <v>Retrospective cohort</v>
      </c>
      <c r="T19" s="111" t="str">
        <f>IF(HLOOKUP(T$6,CHARMS!$A$6:$CQ$92,9,)&lt;&gt;0,HLOOKUP(T$6,CHARMS!$A$6:$CQ$92,9,),"")</f>
        <v>Retrospective cohort</v>
      </c>
      <c r="U19" s="111" t="str">
        <f>IF(HLOOKUP(U$6,CHARMS!$A$6:$CQ$92,9,)&lt;&gt;0,HLOOKUP(U$6,CHARMS!$A$6:$CQ$92,9,),"")</f>
        <v>Retrospective cohort</v>
      </c>
      <c r="V19" s="111" t="str">
        <f>IF(HLOOKUP(V$6,CHARMS!$A$6:$CQ$92,9,)&lt;&gt;0,HLOOKUP(V$6,CHARMS!$A$6:$CQ$92,9,),"")</f>
        <v>Retrospective cohort</v>
      </c>
      <c r="W19" s="111" t="str">
        <f>IF(HLOOKUP(W$6,CHARMS!$A$6:$CQ$92,9,)&lt;&gt;0,HLOOKUP(W$6,CHARMS!$A$6:$CQ$92,9,),"")</f>
        <v>Retrospective cohort</v>
      </c>
      <c r="X19" s="111" t="str">
        <f>IF(HLOOKUP(X$6,CHARMS!$A$6:$CQ$92,9,)&lt;&gt;0,HLOOKUP(X$6,CHARMS!$A$6:$CQ$92,9,),"")</f>
        <v>Retrospective cohort</v>
      </c>
      <c r="Y19" s="111" t="str">
        <f>IF(HLOOKUP(Y$6,CHARMS!$A$6:$CQ$92,9,)&lt;&gt;0,HLOOKUP(Y$6,CHARMS!$A$6:$CQ$92,9,),"")</f>
        <v>Retrospective cohort</v>
      </c>
      <c r="Z19" s="111" t="str">
        <f>IF(HLOOKUP(Z$6,CHARMS!$A$6:$CQ$92,9,)&lt;&gt;0,HLOOKUP(Z$6,CHARMS!$A$6:$CQ$92,9,),"")</f>
        <v>Retrospective cohort</v>
      </c>
      <c r="AA19" s="111" t="str">
        <f>IF(HLOOKUP(AA$6,CHARMS!$A$6:$CQ$92,9,)&lt;&gt;0,HLOOKUP(AA$6,CHARMS!$A$6:$CQ$92,9,),"")</f>
        <v>Retrospective cohort</v>
      </c>
      <c r="AB19" s="111" t="str">
        <f>IF(HLOOKUP(AB$6,CHARMS!$A$6:$CQ$92,9,)&lt;&gt;0,HLOOKUP(AB$6,CHARMS!$A$6:$CQ$92,9,),"")</f>
        <v>Retrospective cohort</v>
      </c>
      <c r="AC19" s="111" t="str">
        <f>IF(HLOOKUP(AC$6,CHARMS!$A$6:$CQ$92,9,)&lt;&gt;0,HLOOKUP(AC$6,CHARMS!$A$6:$CQ$92,9,),"")</f>
        <v>Retrospective cohort</v>
      </c>
      <c r="AD19" s="111" t="str">
        <f>IF(HLOOKUP(AD$6,CHARMS!$A$6:$CQ$92,9,)&lt;&gt;0,HLOOKUP(AD$6,CHARMS!$A$6:$CQ$92,9,),"")</f>
        <v>Retrospective cohort</v>
      </c>
      <c r="AE19" s="111" t="str">
        <f>IF(HLOOKUP(AE$6,CHARMS!$A$6:$CQ$92,9,)&lt;&gt;0,HLOOKUP(AE$6,CHARMS!$A$6:$CQ$92,9,),"")</f>
        <v>Retrospective cohort</v>
      </c>
    </row>
    <row r="20" spans="1:31" s="83" customFormat="1" ht="15" customHeight="1" x14ac:dyDescent="0.3">
      <c r="A20" s="110" t="s">
        <v>195</v>
      </c>
      <c r="B20" s="111" t="str">
        <f>IF(HLOOKUP(B$6,CHARMS!$A$6:$CQ$92,11,)&lt;&gt;0,HLOOKUP(B$6,CHARMS!$A$6:$CQ$92,11,),"")</f>
        <v>No information</v>
      </c>
      <c r="C20" s="111" t="str">
        <f>IF(HLOOKUP(C$6,CHARMS!$A$6:$CQ$92,11,)&lt;&gt;0,HLOOKUP(C$6,CHARMS!$A$6:$CQ$92,11,),"")</f>
        <v>No information</v>
      </c>
      <c r="D20" s="111" t="str">
        <f>IF(HLOOKUP(D$6,CHARMS!$A$6:$CQ$92,11,)&lt;&gt;0,HLOOKUP(D$6,CHARMS!$A$6:$CQ$92,11,),"")</f>
        <v>No information</v>
      </c>
      <c r="E20" s="111" t="str">
        <f>IF(HLOOKUP(E$6,CHARMS!$A$6:$CQ$92,11,)&lt;&gt;0,HLOOKUP(E$6,CHARMS!$A$6:$CQ$92,11,),"")</f>
        <v>No information</v>
      </c>
      <c r="F20" s="111" t="str">
        <f>IF(HLOOKUP(F$6,CHARMS!$A$6:$CQ$92,11,)&lt;&gt;0,HLOOKUP(F$6,CHARMS!$A$6:$CQ$92,11,),"")</f>
        <v>No information</v>
      </c>
      <c r="G20" s="111" t="str">
        <f>IF(HLOOKUP(G$6,CHARMS!$A$6:$CQ$92,11,)&lt;&gt;0,HLOOKUP(G$6,CHARMS!$A$6:$CQ$92,11,),"")</f>
        <v>No information</v>
      </c>
      <c r="H20" s="111" t="str">
        <f>IF(HLOOKUP(H$6,CHARMS!$A$6:$CQ$92,11,)&lt;&gt;0,HLOOKUP(H$6,CHARMS!$A$6:$CQ$92,11,),"")</f>
        <v>No information</v>
      </c>
      <c r="I20" s="111" t="str">
        <f>IF(HLOOKUP(I$6,CHARMS!$A$6:$CQ$92,11,)&lt;&gt;0,HLOOKUP(I$6,CHARMS!$A$6:$CQ$92,11,),"")</f>
        <v>No information</v>
      </c>
      <c r="J20" s="111" t="str">
        <f>IF(HLOOKUP(J$6,CHARMS!$A$6:$CQ$92,11,)&lt;&gt;0,HLOOKUP(J$6,CHARMS!$A$6:$CQ$92,11,),"")</f>
        <v>No information</v>
      </c>
      <c r="K20" s="111" t="str">
        <f>IF(HLOOKUP(K$6,CHARMS!$A$6:$CQ$92,11,)&lt;&gt;0,HLOOKUP(K$6,CHARMS!$A$6:$CQ$92,11,),"")</f>
        <v>Consecutive patients</v>
      </c>
      <c r="L20" s="111" t="str">
        <f>IF(HLOOKUP(L$6,CHARMS!$A$6:$CQ$92,11,)&lt;&gt;0,HLOOKUP(L$6,CHARMS!$A$6:$CQ$92,11,),"")</f>
        <v>Consecutive patients</v>
      </c>
      <c r="M20" s="111" t="str">
        <f>IF(HLOOKUP(M$6,CHARMS!$A$6:$CQ$92,11,)&lt;&gt;0,HLOOKUP(M$6,CHARMS!$A$6:$CQ$92,11,),"")</f>
        <v>Consecutive patients</v>
      </c>
      <c r="N20" s="111" t="str">
        <f>IF(HLOOKUP(N$6,CHARMS!$A$6:$CQ$92,11,)&lt;&gt;0,HLOOKUP(N$6,CHARMS!$A$6:$CQ$92,11,),"")</f>
        <v>Consecutive patients</v>
      </c>
      <c r="O20" s="111" t="str">
        <f>IF(HLOOKUP(O$6,CHARMS!$A$6:$CQ$92,11,)&lt;&gt;0,HLOOKUP(O$6,CHARMS!$A$6:$CQ$92,11,),"")</f>
        <v>Consecutive patients</v>
      </c>
      <c r="P20" s="111" t="str">
        <f>IF(HLOOKUP(P$6,CHARMS!$A$6:$CQ$92,11,)&lt;&gt;0,HLOOKUP(P$6,CHARMS!$A$6:$CQ$92,11,),"")</f>
        <v>Consecutive patients</v>
      </c>
      <c r="Q20" s="111" t="str">
        <f>IF(HLOOKUP(Q$6,CHARMS!$A$6:$CQ$92,11,)&lt;&gt;0,HLOOKUP(Q$6,CHARMS!$A$6:$CQ$92,11,),"")</f>
        <v>Consecutive patients</v>
      </c>
      <c r="R20" s="111" t="str">
        <f>IF(HLOOKUP(R$6,CHARMS!$A$6:$CQ$92,11,)&lt;&gt;0,HLOOKUP(R$6,CHARMS!$A$6:$CQ$92,11,),"")</f>
        <v>Consecutive patients</v>
      </c>
      <c r="S20" s="111" t="str">
        <f>IF(HLOOKUP(S$6,CHARMS!$A$6:$CQ$92,11,)&lt;&gt;0,HLOOKUP(S$6,CHARMS!$A$6:$CQ$92,11,),"")</f>
        <v>Consecutive patients</v>
      </c>
      <c r="T20" s="111" t="str">
        <f>IF(HLOOKUP(T$6,CHARMS!$A$6:$CQ$92,11,)&lt;&gt;0,HLOOKUP(T$6,CHARMS!$A$6:$CQ$92,11,),"")</f>
        <v>Consecutive patients</v>
      </c>
      <c r="U20" s="111" t="str">
        <f>IF(HLOOKUP(U$6,CHARMS!$A$6:$CQ$92,11,)&lt;&gt;0,HLOOKUP(U$6,CHARMS!$A$6:$CQ$92,11,),"")</f>
        <v>Consecutive patients</v>
      </c>
      <c r="V20" s="111" t="str">
        <f>IF(HLOOKUP(V$6,CHARMS!$A$6:$CQ$92,11,)&lt;&gt;0,HLOOKUP(V$6,CHARMS!$A$6:$CQ$92,11,),"")</f>
        <v>Consecutive patients</v>
      </c>
      <c r="W20" s="111" t="str">
        <f>IF(HLOOKUP(W$6,CHARMS!$A$6:$CQ$92,11,)&lt;&gt;0,HLOOKUP(W$6,CHARMS!$A$6:$CQ$92,11,),"")</f>
        <v>Consecutive patients</v>
      </c>
      <c r="X20" s="111" t="str">
        <f>IF(HLOOKUP(X$6,CHARMS!$A$6:$CQ$92,11,)&lt;&gt;0,HLOOKUP(X$6,CHARMS!$A$6:$CQ$92,11,),"")</f>
        <v>Consecutive patients</v>
      </c>
      <c r="Y20" s="111" t="str">
        <f>IF(HLOOKUP(Y$6,CHARMS!$A$6:$CQ$92,11,)&lt;&gt;0,HLOOKUP(Y$6,CHARMS!$A$6:$CQ$92,11,),"")</f>
        <v>Consecutive patients</v>
      </c>
      <c r="Z20" s="111" t="str">
        <f>IF(HLOOKUP(Z$6,CHARMS!$A$6:$CQ$92,11,)&lt;&gt;0,HLOOKUP(Z$6,CHARMS!$A$6:$CQ$92,11,),"")</f>
        <v>Consecutive patients</v>
      </c>
      <c r="AA20" s="111" t="str">
        <f>IF(HLOOKUP(AA$6,CHARMS!$A$6:$CQ$92,11,)&lt;&gt;0,HLOOKUP(AA$6,CHARMS!$A$6:$CQ$92,11,),"")</f>
        <v>Consecutive patients</v>
      </c>
      <c r="AB20" s="111" t="str">
        <f>IF(HLOOKUP(AB$6,CHARMS!$A$6:$CQ$92,11,)&lt;&gt;0,HLOOKUP(AB$6,CHARMS!$A$6:$CQ$92,11,),"")</f>
        <v>Consecutive patients</v>
      </c>
      <c r="AC20" s="111" t="str">
        <f>IF(HLOOKUP(AC$6,CHARMS!$A$6:$CQ$92,11,)&lt;&gt;0,HLOOKUP(AC$6,CHARMS!$A$6:$CQ$92,11,),"")</f>
        <v>Consecutive patients</v>
      </c>
      <c r="AD20" s="111" t="str">
        <f>IF(HLOOKUP(AD$6,CHARMS!$A$6:$CQ$92,11,)&lt;&gt;0,HLOOKUP(AD$6,CHARMS!$A$6:$CQ$92,11,),"")</f>
        <v>Consecutive patients</v>
      </c>
      <c r="AE20" s="111" t="str">
        <f>IF(HLOOKUP(AE$6,CHARMS!$A$6:$CQ$92,11,)&lt;&gt;0,HLOOKUP(AE$6,CHARMS!$A$6:$CQ$92,11,),"")</f>
        <v>Consecutive patients</v>
      </c>
    </row>
    <row r="21" spans="1:31" s="83" customFormat="1" ht="15" customHeight="1" x14ac:dyDescent="0.3">
      <c r="A21" s="110" t="s">
        <v>196</v>
      </c>
      <c r="B21" s="111" t="str">
        <f>IF(HLOOKUP(B$6,CHARMS!$A$6:$CQ$92,12,)&lt;&gt;0,HLOOKUP(B$6,CHARMS!$A$6:$CQ$92,12,),"")</f>
        <v>2005-2018</v>
      </c>
      <c r="C21" s="111" t="str">
        <f>IF(HLOOKUP(C$6,CHARMS!$A$6:$CQ$92,12,)&lt;&gt;0,HLOOKUP(C$6,CHARMS!$A$6:$CQ$92,12,),"")</f>
        <v>2018-2020</v>
      </c>
      <c r="D21" s="111" t="str">
        <f>IF(HLOOKUP(D$6,CHARMS!$A$6:$CQ$92,12,)&lt;&gt;0,HLOOKUP(D$6,CHARMS!$A$6:$CQ$92,12,),"")</f>
        <v>2018-2020</v>
      </c>
      <c r="E21" s="111" t="str">
        <f>IF(HLOOKUP(E$6,CHARMS!$A$6:$CQ$92,12,)&lt;&gt;0,HLOOKUP(E$6,CHARMS!$A$6:$CQ$92,12,),"")</f>
        <v>2015-2017</v>
      </c>
      <c r="F21" s="111" t="str">
        <f>IF(HLOOKUP(F$6,CHARMS!$A$6:$CQ$92,12,)&lt;&gt;0,HLOOKUP(F$6,CHARMS!$A$6:$CQ$92,12,),"")</f>
        <v>2009-2018</v>
      </c>
      <c r="G21" s="111" t="str">
        <f>IF(HLOOKUP(G$6,CHARMS!$A$6:$CQ$92,12,)&lt;&gt;0,HLOOKUP(G$6,CHARMS!$A$6:$CQ$92,12,),"")</f>
        <v>2008-2020</v>
      </c>
      <c r="H21" s="111" t="str">
        <f>IF(HLOOKUP(H$6,CHARMS!$A$6:$CQ$92,12,)&lt;&gt;0,HLOOKUP(H$6,CHARMS!$A$6:$CQ$92,12,),"")</f>
        <v>2006-2017</v>
      </c>
      <c r="I21" s="111" t="str">
        <f>IF(HLOOKUP(I$6,CHARMS!$A$6:$CQ$92,12,)&lt;&gt;0,HLOOKUP(I$6,CHARMS!$A$6:$CQ$92,12,),"")</f>
        <v>2013-2016</v>
      </c>
      <c r="J21" s="111" t="str">
        <f>IF(HLOOKUP(J$6,CHARMS!$A$6:$CQ$92,12,)&lt;&gt;0,HLOOKUP(J$6,CHARMS!$A$6:$CQ$92,12,),"")</f>
        <v>2009-2015</v>
      </c>
      <c r="K21" s="111" t="str">
        <f>IF(HLOOKUP(K$6,CHARMS!$A$6:$CQ$92,12,)&lt;&gt;0,HLOOKUP(K$6,CHARMS!$A$6:$CQ$92,12,),"")</f>
        <v>2000 - 2011</v>
      </c>
      <c r="L21" s="111" t="str">
        <f>IF(HLOOKUP(L$6,CHARMS!$A$6:$CQ$92,12,)&lt;&gt;0,HLOOKUP(L$6,CHARMS!$A$6:$CQ$92,12,),"")</f>
        <v>2000 - 2011</v>
      </c>
      <c r="M21" s="111" t="str">
        <f>IF(HLOOKUP(M$6,CHARMS!$A$6:$CQ$92,12,)&lt;&gt;0,HLOOKUP(M$6,CHARMS!$A$6:$CQ$92,12,),"")</f>
        <v>2000 - 2011</v>
      </c>
      <c r="N21" s="111" t="str">
        <f>IF(HLOOKUP(N$6,CHARMS!$A$6:$CQ$92,12,)&lt;&gt;0,HLOOKUP(N$6,CHARMS!$A$6:$CQ$92,12,),"")</f>
        <v>2000 - 2011</v>
      </c>
      <c r="O21" s="111" t="str">
        <f>IF(HLOOKUP(O$6,CHARMS!$A$6:$CQ$92,12,)&lt;&gt;0,HLOOKUP(O$6,CHARMS!$A$6:$CQ$92,12,),"")</f>
        <v>2000 - 2011</v>
      </c>
      <c r="P21" s="111" t="str">
        <f>IF(HLOOKUP(P$6,CHARMS!$A$6:$CQ$92,12,)&lt;&gt;0,HLOOKUP(P$6,CHARMS!$A$6:$CQ$92,12,),"")</f>
        <v>2000 - 2011</v>
      </c>
      <c r="Q21" s="111" t="str">
        <f>IF(HLOOKUP(Q$6,CHARMS!$A$6:$CQ$92,12,)&lt;&gt;0,HLOOKUP(Q$6,CHARMS!$A$6:$CQ$92,12,),"")</f>
        <v>2000 - 2011</v>
      </c>
      <c r="R21" s="111" t="str">
        <f>IF(HLOOKUP(R$6,CHARMS!$A$6:$CQ$92,12,)&lt;&gt;0,HLOOKUP(R$6,CHARMS!$A$6:$CQ$92,12,),"")</f>
        <v>2000 - 2011</v>
      </c>
      <c r="S21" s="111" t="str">
        <f>IF(HLOOKUP(S$6,CHARMS!$A$6:$CQ$92,12,)&lt;&gt;0,HLOOKUP(S$6,CHARMS!$A$6:$CQ$92,12,),"")</f>
        <v>2000 - 2011</v>
      </c>
      <c r="T21" s="111" t="str">
        <f>IF(HLOOKUP(T$6,CHARMS!$A$6:$CQ$92,12,)&lt;&gt;0,HLOOKUP(T$6,CHARMS!$A$6:$CQ$92,12,),"")</f>
        <v>2000 - 2011</v>
      </c>
      <c r="U21" s="111" t="str">
        <f>IF(HLOOKUP(U$6,CHARMS!$A$6:$CQ$92,12,)&lt;&gt;0,HLOOKUP(U$6,CHARMS!$A$6:$CQ$92,12,),"")</f>
        <v>2000 - 2011</v>
      </c>
      <c r="V21" s="111" t="str">
        <f>IF(HLOOKUP(V$6,CHARMS!$A$6:$CQ$92,12,)&lt;&gt;0,HLOOKUP(V$6,CHARMS!$A$6:$CQ$92,12,),"")</f>
        <v>2000 - 2011</v>
      </c>
      <c r="W21" s="111" t="str">
        <f>IF(HLOOKUP(W$6,CHARMS!$A$6:$CQ$92,12,)&lt;&gt;0,HLOOKUP(W$6,CHARMS!$A$6:$CQ$92,12,),"")</f>
        <v>2000 - 2011</v>
      </c>
      <c r="X21" s="111" t="str">
        <f>IF(HLOOKUP(X$6,CHARMS!$A$6:$CQ$92,12,)&lt;&gt;0,HLOOKUP(X$6,CHARMS!$A$6:$CQ$92,12,),"")</f>
        <v>2000 - 2011</v>
      </c>
      <c r="Y21" s="111" t="str">
        <f>IF(HLOOKUP(Y$6,CHARMS!$A$6:$CQ$92,12,)&lt;&gt;0,HLOOKUP(Y$6,CHARMS!$A$6:$CQ$92,12,),"")</f>
        <v>2000 - 2011</v>
      </c>
      <c r="Z21" s="111" t="str">
        <f>IF(HLOOKUP(Z$6,CHARMS!$A$6:$CQ$92,12,)&lt;&gt;0,HLOOKUP(Z$6,CHARMS!$A$6:$CQ$92,12,),"")</f>
        <v>2000 - 2011</v>
      </c>
      <c r="AA21" s="111" t="str">
        <f>IF(HLOOKUP(AA$6,CHARMS!$A$6:$CQ$92,12,)&lt;&gt;0,HLOOKUP(AA$6,CHARMS!$A$6:$CQ$92,12,),"")</f>
        <v>2000 - 2011</v>
      </c>
      <c r="AB21" s="111" t="str">
        <f>IF(HLOOKUP(AB$6,CHARMS!$A$6:$CQ$92,12,)&lt;&gt;0,HLOOKUP(AB$6,CHARMS!$A$6:$CQ$92,12,),"")</f>
        <v>2000 - 2011</v>
      </c>
      <c r="AC21" s="111" t="str">
        <f>IF(HLOOKUP(AC$6,CHARMS!$A$6:$CQ$92,12,)&lt;&gt;0,HLOOKUP(AC$6,CHARMS!$A$6:$CQ$92,12,),"")</f>
        <v>2000 - 2011</v>
      </c>
      <c r="AD21" s="111" t="str">
        <f>IF(HLOOKUP(AD$6,CHARMS!$A$6:$CQ$92,12,)&lt;&gt;0,HLOOKUP(AD$6,CHARMS!$A$6:$CQ$92,12,),"")</f>
        <v>2000 - 2011</v>
      </c>
      <c r="AE21" s="111" t="str">
        <f>IF(HLOOKUP(AE$6,CHARMS!$A$6:$CQ$92,12,)&lt;&gt;0,HLOOKUP(AE$6,CHARMS!$A$6:$CQ$92,12,),"")</f>
        <v>2000 - 2011</v>
      </c>
    </row>
    <row r="22" spans="1:31" s="83" customFormat="1" ht="15" customHeight="1" x14ac:dyDescent="0.3">
      <c r="A22" s="110" t="s">
        <v>197</v>
      </c>
      <c r="B22" s="111" t="str">
        <f>IF(HLOOKUP(B$6,CHARMS!$A$6:$CQ$92,13,)&lt;&gt;0,HLOOKUP(B$6,CHARMS!$A$6:$CQ$92,13,),"")</f>
        <v>Cleveland Clinic CathPCI</v>
      </c>
      <c r="C22" s="111" t="str">
        <f>IF(HLOOKUP(C$6,CHARMS!$A$6:$CQ$92,13,)&lt;&gt;0,HLOOKUP(C$6,CHARMS!$A$6:$CQ$92,13,),"")</f>
        <v>BMC2 registry</v>
      </c>
      <c r="D22" s="111" t="str">
        <f>IF(HLOOKUP(D$6,CHARMS!$A$6:$CQ$92,13,)&lt;&gt;0,HLOOKUP(D$6,CHARMS!$A$6:$CQ$92,13,),"")</f>
        <v>BMC2 registry</v>
      </c>
      <c r="E22" s="111" t="str">
        <f>IF(HLOOKUP(E$6,CHARMS!$A$6:$CQ$92,13,)&lt;&gt;0,HLOOKUP(E$6,CHARMS!$A$6:$CQ$92,13,),"")</f>
        <v xml:space="preserve"> NCDR Cath PCI 4.4</v>
      </c>
      <c r="F22" s="111" t="str">
        <f>IF(HLOOKUP(F$6,CHARMS!$A$6:$CQ$92,13,)&lt;&gt;0,HLOOKUP(F$6,CHARMS!$A$6:$CQ$92,13,),"")</f>
        <v>NCDR Cath PCI for BJC</v>
      </c>
      <c r="G22" s="111" t="str">
        <f>IF(HLOOKUP(G$6,CHARMS!$A$6:$CQ$92,13,)&lt;&gt;0,HLOOKUP(G$6,CHARMS!$A$6:$CQ$92,13,),"")</f>
        <v>JCD-KiCS registry</v>
      </c>
      <c r="H22" s="111" t="str">
        <f>IF(HLOOKUP(H$6,CHARMS!$A$6:$CQ$92,13,)&lt;&gt;0,HLOOKUP(H$6,CHARMS!$A$6:$CQ$92,13,),"")</f>
        <v>MayoClinic Health Systems</v>
      </c>
      <c r="I22" s="111" t="str">
        <f>IF(HLOOKUP(I$6,CHARMS!$A$6:$CQ$92,13,)&lt;&gt;0,HLOOKUP(I$6,CHARMS!$A$6:$CQ$92,13,),"")</f>
        <v>CAMI registry</v>
      </c>
      <c r="J22" s="111" t="str">
        <f>IF(HLOOKUP(J$6,CHARMS!$A$6:$CQ$92,13,)&lt;&gt;0,HLOOKUP(J$6,CHARMS!$A$6:$CQ$92,13,),"")</f>
        <v>NCDR CathPCI</v>
      </c>
      <c r="K22" s="111" t="str">
        <f>IF(HLOOKUP(K$6,CHARMS!$A$6:$CQ$92,13,)&lt;&gt;0,HLOOKUP(K$6,CHARMS!$A$6:$CQ$92,13,),"")</f>
        <v>Cardiac surgery centers</v>
      </c>
      <c r="L22" s="111" t="str">
        <f>IF(HLOOKUP(L$6,CHARMS!$A$6:$CQ$92,13,)&lt;&gt;0,HLOOKUP(L$6,CHARMS!$A$6:$CQ$92,13,),"")</f>
        <v>Cardiac surgery centers</v>
      </c>
      <c r="M22" s="111" t="str">
        <f>IF(HLOOKUP(M$6,CHARMS!$A$6:$CQ$92,13,)&lt;&gt;0,HLOOKUP(M$6,CHARMS!$A$6:$CQ$92,13,),"")</f>
        <v>Cardiac surgery centers</v>
      </c>
      <c r="N22" s="111" t="str">
        <f>IF(HLOOKUP(N$6,CHARMS!$A$6:$CQ$92,13,)&lt;&gt;0,HLOOKUP(N$6,CHARMS!$A$6:$CQ$92,13,),"")</f>
        <v>Cardiac surgery centers</v>
      </c>
      <c r="O22" s="111" t="str">
        <f>IF(HLOOKUP(O$6,CHARMS!$A$6:$CQ$92,13,)&lt;&gt;0,HLOOKUP(O$6,CHARMS!$A$6:$CQ$92,13,),"")</f>
        <v>Cardiac surgery centers</v>
      </c>
      <c r="P22" s="111" t="str">
        <f>IF(HLOOKUP(P$6,CHARMS!$A$6:$CQ$92,13,)&lt;&gt;0,HLOOKUP(P$6,CHARMS!$A$6:$CQ$92,13,),"")</f>
        <v>Cardiac surgery centers</v>
      </c>
      <c r="Q22" s="111" t="str">
        <f>IF(HLOOKUP(Q$6,CHARMS!$A$6:$CQ$92,13,)&lt;&gt;0,HLOOKUP(Q$6,CHARMS!$A$6:$CQ$92,13,),"")</f>
        <v>Cardiac surgery centers</v>
      </c>
      <c r="R22" s="111" t="str">
        <f>IF(HLOOKUP(R$6,CHARMS!$A$6:$CQ$92,13,)&lt;&gt;0,HLOOKUP(R$6,CHARMS!$A$6:$CQ$92,13,),"")</f>
        <v>Cardiac surgery centers</v>
      </c>
      <c r="S22" s="111" t="str">
        <f>IF(HLOOKUP(S$6,CHARMS!$A$6:$CQ$92,13,)&lt;&gt;0,HLOOKUP(S$6,CHARMS!$A$6:$CQ$92,13,),"")</f>
        <v>Cardiac surgery centers</v>
      </c>
      <c r="T22" s="111" t="str">
        <f>IF(HLOOKUP(T$6,CHARMS!$A$6:$CQ$92,13,)&lt;&gt;0,HLOOKUP(T$6,CHARMS!$A$6:$CQ$92,13,),"")</f>
        <v>Cardiac surgery centers</v>
      </c>
      <c r="U22" s="111" t="str">
        <f>IF(HLOOKUP(U$6,CHARMS!$A$6:$CQ$92,13,)&lt;&gt;0,HLOOKUP(U$6,CHARMS!$A$6:$CQ$92,13,),"")</f>
        <v>Cardiac surgery centers</v>
      </c>
      <c r="V22" s="111" t="str">
        <f>IF(HLOOKUP(V$6,CHARMS!$A$6:$CQ$92,13,)&lt;&gt;0,HLOOKUP(V$6,CHARMS!$A$6:$CQ$92,13,),"")</f>
        <v>Cardiac surgery centers</v>
      </c>
      <c r="W22" s="111" t="str">
        <f>IF(HLOOKUP(W$6,CHARMS!$A$6:$CQ$92,13,)&lt;&gt;0,HLOOKUP(W$6,CHARMS!$A$6:$CQ$92,13,),"")</f>
        <v>Cardiac surgery centers</v>
      </c>
      <c r="X22" s="111" t="str">
        <f>IF(HLOOKUP(X$6,CHARMS!$A$6:$CQ$92,13,)&lt;&gt;0,HLOOKUP(X$6,CHARMS!$A$6:$CQ$92,13,),"")</f>
        <v>Cardiac surgery centers</v>
      </c>
      <c r="Y22" s="111" t="str">
        <f>IF(HLOOKUP(Y$6,CHARMS!$A$6:$CQ$92,13,)&lt;&gt;0,HLOOKUP(Y$6,CHARMS!$A$6:$CQ$92,13,),"")</f>
        <v>Cardiac surgery centers</v>
      </c>
      <c r="Z22" s="111" t="str">
        <f>IF(HLOOKUP(Z$6,CHARMS!$A$6:$CQ$92,13,)&lt;&gt;0,HLOOKUP(Z$6,CHARMS!$A$6:$CQ$92,13,),"")</f>
        <v>Cardiac surgery centers</v>
      </c>
      <c r="AA22" s="111" t="str">
        <f>IF(HLOOKUP(AA$6,CHARMS!$A$6:$CQ$92,13,)&lt;&gt;0,HLOOKUP(AA$6,CHARMS!$A$6:$CQ$92,13,),"")</f>
        <v>Cardiac surgery centers</v>
      </c>
      <c r="AB22" s="111" t="str">
        <f>IF(HLOOKUP(AB$6,CHARMS!$A$6:$CQ$92,13,)&lt;&gt;0,HLOOKUP(AB$6,CHARMS!$A$6:$CQ$92,13,),"")</f>
        <v>Cardiac surgery centers</v>
      </c>
      <c r="AC22" s="111" t="str">
        <f>IF(HLOOKUP(AC$6,CHARMS!$A$6:$CQ$92,13,)&lt;&gt;0,HLOOKUP(AC$6,CHARMS!$A$6:$CQ$92,13,),"")</f>
        <v>Cardiac surgery centers</v>
      </c>
      <c r="AD22" s="111" t="str">
        <f>IF(HLOOKUP(AD$6,CHARMS!$A$6:$CQ$92,13,)&lt;&gt;0,HLOOKUP(AD$6,CHARMS!$A$6:$CQ$92,13,),"")</f>
        <v>Cardiac surgery centers</v>
      </c>
      <c r="AE22" s="111" t="str">
        <f>IF(HLOOKUP(AE$6,CHARMS!$A$6:$CQ$92,13,)&lt;&gt;0,HLOOKUP(AE$6,CHARMS!$A$6:$CQ$92,13,),"")</f>
        <v>Cardiac surgery centers</v>
      </c>
    </row>
    <row r="23" spans="1:31" s="83" customFormat="1" ht="48.75" customHeight="1" x14ac:dyDescent="0.3">
      <c r="A23" s="110" t="s">
        <v>198</v>
      </c>
      <c r="B23" s="111" t="str">
        <f>IF(HLOOKUP(B$6,CHARMS!$A$6:$CQ$92,16,)&lt;&gt;0,HLOOKUP(B$6,CHARMS!$A$6:$CQ$92,16,),"")</f>
        <v xml:space="preserve"> Patients &gt;70 years presenting with acute myocardial
infarction</v>
      </c>
      <c r="C23" s="111" t="str">
        <f>IF(HLOOKUP(C$6,CHARMS!$A$6:$CQ$92,16,)&lt;&gt;0,HLOOKUP(C$6,CHARMS!$A$6:$CQ$92,16,),"")</f>
        <v>PCI patients</v>
      </c>
      <c r="D23" s="111" t="str">
        <f>IF(HLOOKUP(D$6,CHARMS!$A$6:$CQ$92,16,)&lt;&gt;0,HLOOKUP(D$6,CHARMS!$A$6:$CQ$92,16,),"")</f>
        <v>PCI patients</v>
      </c>
      <c r="E23" s="111" t="str">
        <f>IF(HLOOKUP(E$6,CHARMS!$A$6:$CQ$92,16,)&lt;&gt;0,HLOOKUP(E$6,CHARMS!$A$6:$CQ$92,16,),"")</f>
        <v>PCI patients</v>
      </c>
      <c r="F23" s="111" t="str">
        <f>IF(HLOOKUP(F$6,CHARMS!$A$6:$CQ$92,16,)&lt;&gt;0,HLOOKUP(F$6,CHARMS!$A$6:$CQ$92,16,),"")</f>
        <v>PCI patients</v>
      </c>
      <c r="G23" s="111" t="str">
        <f>IF(HLOOKUP(G$6,CHARMS!$A$6:$CQ$92,16,)&lt;&gt;0,HLOOKUP(G$6,CHARMS!$A$6:$CQ$92,16,),"")</f>
        <v>PCI patients</v>
      </c>
      <c r="H23" s="111" t="str">
        <f>IF(HLOOKUP(H$6,CHARMS!$A$6:$CQ$92,16,)&lt;&gt;0,HLOOKUP(H$6,CHARMS!$A$6:$CQ$92,16,),"")</f>
        <v>PCI patients</v>
      </c>
      <c r="I23" s="111" t="str">
        <f>IF(HLOOKUP(I$6,CHARMS!$A$6:$CQ$92,16,)&lt;&gt;0,HLOOKUP(I$6,CHARMS!$A$6:$CQ$92,16,),"")</f>
        <v>AMI patients undergoing PCI</v>
      </c>
      <c r="J23" s="111" t="str">
        <f>IF(HLOOKUP(J$6,CHARMS!$A$6:$CQ$92,16,)&lt;&gt;0,HLOOKUP(J$6,CHARMS!$A$6:$CQ$92,16,),"")</f>
        <v>PCI patients</v>
      </c>
      <c r="K23" s="111" t="str">
        <f>IF(HLOOKUP(K$6,CHARMS!$A$6:$CQ$92,16,)&lt;&gt;0,HLOOKUP(K$6,CHARMS!$A$6:$CQ$92,16,),"")</f>
        <v>Patients who requiring cardiac surgery during the active phase of infection (while on antimicrobial therapy).</v>
      </c>
      <c r="L23" s="111" t="str">
        <f>IF(HLOOKUP(L$6,CHARMS!$A$6:$CQ$92,16,)&lt;&gt;0,HLOOKUP(L$6,CHARMS!$A$6:$CQ$92,16,),"")</f>
        <v>Patients who requiring cardiac surgery during the active phase of infection (while on antimicrobial therapy).</v>
      </c>
      <c r="M23" s="111" t="str">
        <f>IF(HLOOKUP(M$6,CHARMS!$A$6:$CQ$92,16,)&lt;&gt;0,HLOOKUP(M$6,CHARMS!$A$6:$CQ$92,16,),"")</f>
        <v>Patients who requiring cardiac surgery during the active phase of infection (while on antimicrobial therapy).</v>
      </c>
      <c r="N23" s="111" t="str">
        <f>IF(HLOOKUP(N$6,CHARMS!$A$6:$CQ$92,16,)&lt;&gt;0,HLOOKUP(N$6,CHARMS!$A$6:$CQ$92,16,),"")</f>
        <v>Patients who requiring cardiac surgery during the active phase of infection (while on antimicrobial therapy).</v>
      </c>
      <c r="O23" s="111" t="str">
        <f>IF(HLOOKUP(O$6,CHARMS!$A$6:$CQ$92,16,)&lt;&gt;0,HLOOKUP(O$6,CHARMS!$A$6:$CQ$92,16,),"")</f>
        <v>Patients who requiring cardiac surgery during the active phase of infection (while on antimicrobial therapy).</v>
      </c>
      <c r="P23" s="111" t="str">
        <f>IF(HLOOKUP(P$6,CHARMS!$A$6:$CQ$92,16,)&lt;&gt;0,HLOOKUP(P$6,CHARMS!$A$6:$CQ$92,16,),"")</f>
        <v>Patients who requiring cardiac surgery during the active phase of infection (while on antimicrobial therapy).</v>
      </c>
      <c r="Q23" s="111" t="str">
        <f>IF(HLOOKUP(Q$6,CHARMS!$A$6:$CQ$92,16,)&lt;&gt;0,HLOOKUP(Q$6,CHARMS!$A$6:$CQ$92,16,),"")</f>
        <v>Patients who requiring cardiac surgery during the active phase of infection (while on antimicrobial therapy).</v>
      </c>
      <c r="R23" s="111" t="str">
        <f>IF(HLOOKUP(R$6,CHARMS!$A$6:$CQ$92,16,)&lt;&gt;0,HLOOKUP(R$6,CHARMS!$A$6:$CQ$92,16,),"")</f>
        <v>Patients who requiring cardiac surgery during the active phase of infection (while on antimicrobial therapy).</v>
      </c>
      <c r="S23" s="111" t="str">
        <f>IF(HLOOKUP(S$6,CHARMS!$A$6:$CQ$92,16,)&lt;&gt;0,HLOOKUP(S$6,CHARMS!$A$6:$CQ$92,16,),"")</f>
        <v>Patients who requiring cardiac surgery during the active phase of infection (while on antimicrobial therapy).</v>
      </c>
      <c r="T23" s="111" t="str">
        <f>IF(HLOOKUP(T$6,CHARMS!$A$6:$CQ$92,16,)&lt;&gt;0,HLOOKUP(T$6,CHARMS!$A$6:$CQ$92,16,),"")</f>
        <v>Patients who requiring cardiac surgery during the active phase of infection (while on antimicrobial therapy).</v>
      </c>
      <c r="U23" s="111" t="str">
        <f>IF(HLOOKUP(U$6,CHARMS!$A$6:$CQ$92,16,)&lt;&gt;0,HLOOKUP(U$6,CHARMS!$A$6:$CQ$92,16,),"")</f>
        <v>Patients who requiring cardiac surgery during the active phase of infection (while on antimicrobial therapy).</v>
      </c>
      <c r="V23" s="111" t="str">
        <f>IF(HLOOKUP(V$6,CHARMS!$A$6:$CQ$92,16,)&lt;&gt;0,HLOOKUP(V$6,CHARMS!$A$6:$CQ$92,16,),"")</f>
        <v>Patients who requiring cardiac surgery during the active phase of infection (while on antimicrobial therapy).</v>
      </c>
      <c r="W23" s="111" t="str">
        <f>IF(HLOOKUP(W$6,CHARMS!$A$6:$CQ$92,16,)&lt;&gt;0,HLOOKUP(W$6,CHARMS!$A$6:$CQ$92,16,),"")</f>
        <v>Patients who requiring cardiac surgery during the active phase of infection (while on antimicrobial therapy).</v>
      </c>
      <c r="X23" s="111" t="str">
        <f>IF(HLOOKUP(X$6,CHARMS!$A$6:$CQ$92,16,)&lt;&gt;0,HLOOKUP(X$6,CHARMS!$A$6:$CQ$92,16,),"")</f>
        <v>Patients who requiring cardiac surgery during the active phase of infection (while on antimicrobial therapy).</v>
      </c>
      <c r="Y23" s="111" t="str">
        <f>IF(HLOOKUP(Y$6,CHARMS!$A$6:$CQ$92,16,)&lt;&gt;0,HLOOKUP(Y$6,CHARMS!$A$6:$CQ$92,16,),"")</f>
        <v>Patients who requiring cardiac surgery during the active phase of infection (while on antimicrobial therapy).</v>
      </c>
      <c r="Z23" s="111" t="str">
        <f>IF(HLOOKUP(Z$6,CHARMS!$A$6:$CQ$92,16,)&lt;&gt;0,HLOOKUP(Z$6,CHARMS!$A$6:$CQ$92,16,),"")</f>
        <v>Patients who requiring cardiac surgery during the active phase of infection (while on antimicrobial therapy).</v>
      </c>
      <c r="AA23" s="111" t="str">
        <f>IF(HLOOKUP(AA$6,CHARMS!$A$6:$CQ$92,16,)&lt;&gt;0,HLOOKUP(AA$6,CHARMS!$A$6:$CQ$92,16,),"")</f>
        <v>Patients who requiring cardiac surgery during the active phase of infection (while on antimicrobial therapy).</v>
      </c>
      <c r="AB23" s="111" t="str">
        <f>IF(HLOOKUP(AB$6,CHARMS!$A$6:$CQ$92,16,)&lt;&gt;0,HLOOKUP(AB$6,CHARMS!$A$6:$CQ$92,16,),"")</f>
        <v>Patients who requiring cardiac surgery during the active phase of infection (while on antimicrobial therapy).</v>
      </c>
      <c r="AC23" s="111" t="str">
        <f>IF(HLOOKUP(AC$6,CHARMS!$A$6:$CQ$92,16,)&lt;&gt;0,HLOOKUP(AC$6,CHARMS!$A$6:$CQ$92,16,),"")</f>
        <v>Patients who requiring cardiac surgery during the active phase of infection (while on antimicrobial therapy).</v>
      </c>
      <c r="AD23" s="111" t="str">
        <f>IF(HLOOKUP(AD$6,CHARMS!$A$6:$CQ$92,16,)&lt;&gt;0,HLOOKUP(AD$6,CHARMS!$A$6:$CQ$92,16,),"")</f>
        <v>Patients who requiring cardiac surgery during the active phase of infection (while on antimicrobial therapy).</v>
      </c>
      <c r="AE23" s="111" t="str">
        <f>IF(HLOOKUP(AE$6,CHARMS!$A$6:$CQ$92,16,)&lt;&gt;0,HLOOKUP(AE$6,CHARMS!$A$6:$CQ$92,16,),"")</f>
        <v>Patients who requiring cardiac surgery during the active phase of infection (while on antimicrobial therapy).</v>
      </c>
    </row>
    <row r="24" spans="1:31" s="83" customFormat="1" ht="48.75" customHeight="1" x14ac:dyDescent="0.3">
      <c r="A24" s="112" t="s">
        <v>199</v>
      </c>
      <c r="B24" s="113" t="str">
        <f>IF(HLOOKUP(B$6,CHARMS!$A$6:$CQ$92,17,)&lt;&gt;0,HLOOKUP(B$6,CHARMS!$A$6:$CQ$92,17,),"")</f>
        <v>No information</v>
      </c>
      <c r="C24" s="113" t="str">
        <f>IF(HLOOKUP(C$6,CHARMS!$A$6:$CQ$92,17,)&lt;&gt;0,HLOOKUP(C$6,CHARMS!$A$6:$CQ$92,17,),"")</f>
        <v>No information</v>
      </c>
      <c r="D24" s="113" t="str">
        <f>IF(HLOOKUP(D$6,CHARMS!$A$6:$CQ$92,17,)&lt;&gt;0,HLOOKUP(D$6,CHARMS!$A$6:$CQ$92,17,),"")</f>
        <v>No information</v>
      </c>
      <c r="E24" s="113" t="str">
        <f>IF(HLOOKUP(E$6,CHARMS!$A$6:$CQ$92,17,)&lt;&gt;0,HLOOKUP(E$6,CHARMS!$A$6:$CQ$92,17,),"")</f>
        <v>Percutaneous coronary intervention procedures were excluded if they were not the index PCI of admission, if the hospital site had missing outcomes measures, or if the patient underwent subsequent coronary artery bypass grafting.</v>
      </c>
      <c r="F24" s="113" t="str">
        <f>IF(HLOOKUP(F$6,CHARMS!$A$6:$CQ$92,17,)&lt;&gt;0,HLOOKUP(F$6,CHARMS!$A$6:$CQ$92,17,),"")</f>
        <v>No information</v>
      </c>
      <c r="G24" s="113" t="str">
        <f>IF(HLOOKUP(G$6,CHARMS!$A$6:$CQ$92,17,)&lt;&gt;0,HLOOKUP(G$6,CHARMS!$A$6:$CQ$92,17,),"")</f>
        <v>excluded patients with missing indications (n = 967), those without pre- and post-procedure hemoglobin (n = 901), and those without pre- and post-procedure serum creatinine (n = 22) (analytic cohort), Missing for Hgb (6474)</v>
      </c>
      <c r="H24" s="113" t="str">
        <f>IF(HLOOKUP(H$6,CHARMS!$A$6:$CQ$92,17,)&lt;&gt;0,HLOOKUP(H$6,CHARMS!$A$6:$CQ$92,17,),"")</f>
        <v>Any Missing data</v>
      </c>
      <c r="I24" s="113" t="str">
        <f>IF(HLOOKUP(I$6,CHARMS!$A$6:$CQ$92,17,)&lt;&gt;0,HLOOKUP(I$6,CHARMS!$A$6:$CQ$92,17,),"")</f>
        <v>not received PCI, only received BMS, not received DAPT</v>
      </c>
      <c r="J24" s="113" t="str">
        <f>IF(HLOOKUP(J$6,CHARMS!$A$6:$CQ$92,17,)&lt;&gt;0,HLOOKUP(J$6,CHARMS!$A$6:$CQ$92,17,),"")</f>
        <v>we excluded patients during readmissions, who died in the hospital, who had missing data regarding if they had any bleeding events, or who underwent coronary artery bypass grafting (CABG) during the index admission</v>
      </c>
      <c r="K24" s="113" t="str">
        <f>IF(HLOOKUP(K$6,CHARMS!$A$6:$CQ$92,17,)&lt;&gt;0,HLOOKUP(K$6,CHARMS!$A$6:$CQ$92,17,),"")</f>
        <v>IE cases exclusively involving pacemaker leads were not considered. Only the first episode of IE recorded for an individual patient was used.</v>
      </c>
      <c r="L24" s="113" t="str">
        <f>IF(HLOOKUP(L$6,CHARMS!$A$6:$CQ$92,17,)&lt;&gt;0,HLOOKUP(L$6,CHARMS!$A$6:$CQ$92,17,),"")</f>
        <v>IE cases exclusively involving pacemaker leads were not considered. Only the first episode of IE recorded for an individual patient was used.</v>
      </c>
      <c r="M24" s="113" t="str">
        <f>IF(HLOOKUP(M$6,CHARMS!$A$6:$CQ$92,17,)&lt;&gt;0,HLOOKUP(M$6,CHARMS!$A$6:$CQ$92,17,),"")</f>
        <v>IE cases exclusively involving pacemaker leads were not considered. Only the first episode of IE recorded for an individual patient was used.</v>
      </c>
      <c r="N24" s="113" t="str">
        <f>IF(HLOOKUP(N$6,CHARMS!$A$6:$CQ$92,17,)&lt;&gt;0,HLOOKUP(N$6,CHARMS!$A$6:$CQ$92,17,),"")</f>
        <v>IE cases exclusively involving pacemaker leads were not considered. Only the first episode of IE recorded for an individual patient was used.</v>
      </c>
      <c r="O24" s="113" t="str">
        <f>IF(HLOOKUP(O$6,CHARMS!$A$6:$CQ$92,17,)&lt;&gt;0,HLOOKUP(O$6,CHARMS!$A$6:$CQ$92,17,),"")</f>
        <v>IE cases exclusively involving pacemaker leads were not considered. Only the first episode of IE recorded for an individual patient was used.</v>
      </c>
      <c r="P24" s="113" t="str">
        <f>IF(HLOOKUP(P$6,CHARMS!$A$6:$CQ$92,17,)&lt;&gt;0,HLOOKUP(P$6,CHARMS!$A$6:$CQ$92,17,),"")</f>
        <v>IE cases exclusively involving pacemaker leads were not considered. Only the first episode of IE recorded for an individual patient was used.</v>
      </c>
      <c r="Q24" s="113" t="str">
        <f>IF(HLOOKUP(Q$6,CHARMS!$A$6:$CQ$92,17,)&lt;&gt;0,HLOOKUP(Q$6,CHARMS!$A$6:$CQ$92,17,),"")</f>
        <v>IE cases exclusively involving pacemaker leads were not considered. Only the first episode of IE recorded for an individual patient was used.</v>
      </c>
      <c r="R24" s="113" t="str">
        <f>IF(HLOOKUP(R$6,CHARMS!$A$6:$CQ$92,17,)&lt;&gt;0,HLOOKUP(R$6,CHARMS!$A$6:$CQ$92,17,),"")</f>
        <v>IE cases exclusively involving pacemaker leads were not considered. Only the first episode of IE recorded for an individual patient was used.</v>
      </c>
      <c r="S24" s="113" t="str">
        <f>IF(HLOOKUP(S$6,CHARMS!$A$6:$CQ$92,17,)&lt;&gt;0,HLOOKUP(S$6,CHARMS!$A$6:$CQ$92,17,),"")</f>
        <v>IE cases exclusively involving pacemaker leads were not considered. Only the first episode of IE recorded for an individual patient was used.</v>
      </c>
      <c r="T24" s="113" t="str">
        <f>IF(HLOOKUP(T$6,CHARMS!$A$6:$CQ$92,17,)&lt;&gt;0,HLOOKUP(T$6,CHARMS!$A$6:$CQ$92,17,),"")</f>
        <v>IE cases exclusively involving pacemaker leads were not considered. Only the first episode of IE recorded for an individual patient was used.</v>
      </c>
      <c r="U24" s="113" t="str">
        <f>IF(HLOOKUP(U$6,CHARMS!$A$6:$CQ$92,17,)&lt;&gt;0,HLOOKUP(U$6,CHARMS!$A$6:$CQ$92,17,),"")</f>
        <v>IE cases exclusively involving pacemaker leads were not considered. Only the first episode of IE recorded for an individual patient was used.</v>
      </c>
      <c r="V24" s="113" t="str">
        <f>IF(HLOOKUP(V$6,CHARMS!$A$6:$CQ$92,17,)&lt;&gt;0,HLOOKUP(V$6,CHARMS!$A$6:$CQ$92,17,),"")</f>
        <v>IE cases exclusively involving pacemaker leads were not considered. Only the first episode of IE recorded for an individual patient was used.</v>
      </c>
      <c r="W24" s="113" t="str">
        <f>IF(HLOOKUP(W$6,CHARMS!$A$6:$CQ$92,17,)&lt;&gt;0,HLOOKUP(W$6,CHARMS!$A$6:$CQ$92,17,),"")</f>
        <v>IE cases exclusively involving pacemaker leads were not considered. Only the first episode of IE recorded for an individual patient was used.</v>
      </c>
      <c r="X24" s="113" t="str">
        <f>IF(HLOOKUP(X$6,CHARMS!$A$6:$CQ$92,17,)&lt;&gt;0,HLOOKUP(X$6,CHARMS!$A$6:$CQ$92,17,),"")</f>
        <v>IE cases exclusively involving pacemaker leads were not considered. Only the first episode of IE recorded for an individual patient was used.</v>
      </c>
      <c r="Y24" s="113" t="str">
        <f>IF(HLOOKUP(Y$6,CHARMS!$A$6:$CQ$92,17,)&lt;&gt;0,HLOOKUP(Y$6,CHARMS!$A$6:$CQ$92,17,),"")</f>
        <v>IE cases exclusively involving pacemaker leads were not considered. Only the first episode of IE recorded for an individual patient was used.</v>
      </c>
      <c r="Z24" s="113" t="str">
        <f>IF(HLOOKUP(Z$6,CHARMS!$A$6:$CQ$92,17,)&lt;&gt;0,HLOOKUP(Z$6,CHARMS!$A$6:$CQ$92,17,),"")</f>
        <v>IE cases exclusively involving pacemaker leads were not considered. Only the first episode of IE recorded for an individual patient was used.</v>
      </c>
      <c r="AA24" s="113" t="str">
        <f>IF(HLOOKUP(AA$6,CHARMS!$A$6:$CQ$92,17,)&lt;&gt;0,HLOOKUP(AA$6,CHARMS!$A$6:$CQ$92,17,),"")</f>
        <v>IE cases exclusively involving pacemaker leads were not considered. Only the first episode of IE recorded for an individual patient was used.</v>
      </c>
      <c r="AB24" s="113" t="str">
        <f>IF(HLOOKUP(AB$6,CHARMS!$A$6:$CQ$92,17,)&lt;&gt;0,HLOOKUP(AB$6,CHARMS!$A$6:$CQ$92,17,),"")</f>
        <v>IE cases exclusively involving pacemaker leads were not considered. Only the first episode of IE recorded for an individual patient was used.</v>
      </c>
      <c r="AC24" s="113" t="str">
        <f>IF(HLOOKUP(AC$6,CHARMS!$A$6:$CQ$92,17,)&lt;&gt;0,HLOOKUP(AC$6,CHARMS!$A$6:$CQ$92,17,),"")</f>
        <v>IE cases exclusively involving pacemaker leads were not considered. Only the first episode of IE recorded for an individual patient was used.</v>
      </c>
      <c r="AD24" s="113" t="str">
        <f>IF(HLOOKUP(AD$6,CHARMS!$A$6:$CQ$92,17,)&lt;&gt;0,HLOOKUP(AD$6,CHARMS!$A$6:$CQ$92,17,),"")</f>
        <v>IE cases exclusively involving pacemaker leads were not considered. Only the first episode of IE recorded for an individual patient was used.</v>
      </c>
      <c r="AE24" s="113" t="str">
        <f>IF(HLOOKUP(AE$6,CHARMS!$A$6:$CQ$92,17,)&lt;&gt;0,HLOOKUP(AE$6,CHARMS!$A$6:$CQ$92,17,),"")</f>
        <v>IE cases exclusively involving pacemaker leads were not considered. Only the first episode of IE recorded for an individual patient was used.</v>
      </c>
    </row>
    <row r="25" spans="1:31" s="83" customFormat="1" ht="75" customHeight="1" x14ac:dyDescent="0.3">
      <c r="A25" s="114" t="s">
        <v>200</v>
      </c>
      <c r="B25" s="29" t="s">
        <v>429</v>
      </c>
      <c r="C25" s="29"/>
      <c r="D25" s="29"/>
      <c r="E25" s="29"/>
      <c r="F25" s="29" t="s">
        <v>430</v>
      </c>
      <c r="G25" s="29" t="s">
        <v>431</v>
      </c>
      <c r="H25" s="29"/>
      <c r="I25" s="29"/>
      <c r="J25" s="29"/>
      <c r="K25" s="29"/>
      <c r="L25" s="29"/>
      <c r="M25" s="29"/>
      <c r="N25" s="29"/>
      <c r="O25" s="29"/>
      <c r="P25" s="29"/>
      <c r="Q25" s="29"/>
      <c r="R25" s="29"/>
      <c r="S25" s="29"/>
      <c r="T25" s="29"/>
      <c r="U25" s="29"/>
      <c r="V25" s="29"/>
      <c r="W25" s="29"/>
      <c r="X25" s="29"/>
      <c r="Y25" s="29"/>
      <c r="Z25" s="29"/>
      <c r="AA25" s="29"/>
      <c r="AB25" s="29"/>
      <c r="AC25" s="29"/>
      <c r="AD25" s="29"/>
      <c r="AE25" s="29"/>
    </row>
    <row r="26" spans="1:31" ht="18.75" customHeight="1" x14ac:dyDescent="0.3">
      <c r="A26" s="94" t="s">
        <v>201</v>
      </c>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row>
    <row r="27" spans="1:31" s="104" customFormat="1" ht="15" customHeight="1" x14ac:dyDescent="0.3">
      <c r="A27" s="103" t="s">
        <v>202</v>
      </c>
      <c r="B27" s="27" t="s">
        <v>186</v>
      </c>
      <c r="C27" s="27" t="s">
        <v>186</v>
      </c>
      <c r="D27" s="27" t="s">
        <v>186</v>
      </c>
      <c r="E27" s="27" t="s">
        <v>83</v>
      </c>
      <c r="F27" s="27" t="s">
        <v>183</v>
      </c>
      <c r="G27" s="27" t="s">
        <v>183</v>
      </c>
      <c r="H27" s="27" t="s">
        <v>183</v>
      </c>
      <c r="I27" s="27" t="s">
        <v>183</v>
      </c>
      <c r="J27" s="27" t="s">
        <v>183</v>
      </c>
      <c r="K27" s="27" t="s">
        <v>88</v>
      </c>
      <c r="L27" s="27" t="s">
        <v>88</v>
      </c>
      <c r="M27" s="27"/>
      <c r="N27" s="27"/>
      <c r="O27" s="27"/>
      <c r="P27" s="27"/>
      <c r="Q27" s="27"/>
      <c r="R27" s="27"/>
      <c r="S27" s="27"/>
      <c r="T27" s="27"/>
      <c r="U27" s="27"/>
      <c r="V27" s="27"/>
      <c r="W27" s="27"/>
      <c r="X27" s="27"/>
      <c r="Y27" s="27"/>
      <c r="Z27" s="27"/>
      <c r="AA27" s="27"/>
      <c r="AB27" s="27"/>
      <c r="AC27" s="27"/>
      <c r="AD27" s="27"/>
      <c r="AE27" s="27"/>
    </row>
    <row r="28" spans="1:31" s="104" customFormat="1" ht="15" customHeight="1" x14ac:dyDescent="0.3">
      <c r="A28" s="115" t="s">
        <v>203</v>
      </c>
      <c r="B28" s="30" t="s">
        <v>186</v>
      </c>
      <c r="C28" s="30" t="s">
        <v>186</v>
      </c>
      <c r="D28" s="30" t="s">
        <v>186</v>
      </c>
      <c r="E28" s="30" t="s">
        <v>186</v>
      </c>
      <c r="F28" s="30" t="s">
        <v>186</v>
      </c>
      <c r="G28" s="30" t="s">
        <v>186</v>
      </c>
      <c r="H28" s="30" t="s">
        <v>186</v>
      </c>
      <c r="I28" s="30" t="s">
        <v>186</v>
      </c>
      <c r="J28" s="30" t="s">
        <v>186</v>
      </c>
      <c r="K28" s="30" t="s">
        <v>186</v>
      </c>
      <c r="L28" s="30" t="s">
        <v>186</v>
      </c>
      <c r="M28" s="30"/>
      <c r="N28" s="30"/>
      <c r="O28" s="30"/>
      <c r="P28" s="30"/>
      <c r="Q28" s="30"/>
      <c r="R28" s="30"/>
      <c r="S28" s="30"/>
      <c r="T28" s="30"/>
      <c r="U28" s="30"/>
      <c r="V28" s="30"/>
      <c r="W28" s="30"/>
      <c r="X28" s="30"/>
      <c r="Y28" s="30"/>
      <c r="Z28" s="30"/>
      <c r="AA28" s="30"/>
      <c r="AB28" s="30"/>
      <c r="AC28" s="30"/>
      <c r="AD28" s="30"/>
      <c r="AE28" s="30"/>
    </row>
    <row r="29" spans="1:31" s="104" customFormat="1" ht="15" customHeight="1" x14ac:dyDescent="0.3">
      <c r="A29" s="105" t="s">
        <v>204</v>
      </c>
      <c r="B29" s="28" t="s">
        <v>186</v>
      </c>
      <c r="C29" s="28" t="s">
        <v>83</v>
      </c>
      <c r="D29" s="28" t="s">
        <v>83</v>
      </c>
      <c r="E29" s="28" t="s">
        <v>185</v>
      </c>
      <c r="F29" s="28" t="s">
        <v>185</v>
      </c>
      <c r="G29" s="28" t="s">
        <v>83</v>
      </c>
      <c r="H29" s="28" t="s">
        <v>185</v>
      </c>
      <c r="I29" s="28" t="s">
        <v>185</v>
      </c>
      <c r="J29" s="28" t="s">
        <v>185</v>
      </c>
      <c r="K29" s="28" t="s">
        <v>83</v>
      </c>
      <c r="L29" s="28" t="s">
        <v>83</v>
      </c>
      <c r="M29" s="28"/>
      <c r="N29" s="28"/>
      <c r="O29" s="28"/>
      <c r="P29" s="28"/>
      <c r="Q29" s="28"/>
      <c r="R29" s="28"/>
      <c r="S29" s="28"/>
      <c r="T29" s="28"/>
      <c r="U29" s="28"/>
      <c r="V29" s="28"/>
      <c r="W29" s="28"/>
      <c r="X29" s="28"/>
      <c r="Y29" s="28"/>
      <c r="Z29" s="28"/>
      <c r="AA29" s="28"/>
      <c r="AB29" s="28"/>
      <c r="AC29" s="28"/>
      <c r="AD29" s="28"/>
      <c r="AE29" s="28"/>
    </row>
    <row r="30" spans="1:31" s="83" customFormat="1" ht="18.75" customHeight="1" x14ac:dyDescent="0.3">
      <c r="A30" s="106" t="s">
        <v>205</v>
      </c>
      <c r="B30" s="33" t="s">
        <v>58</v>
      </c>
      <c r="C30" s="33" t="s">
        <v>58</v>
      </c>
      <c r="D30" s="33" t="s">
        <v>58</v>
      </c>
      <c r="E30" s="33" t="s">
        <v>189</v>
      </c>
      <c r="F30" s="33" t="s">
        <v>189</v>
      </c>
      <c r="G30" s="33" t="s">
        <v>189</v>
      </c>
      <c r="H30" s="33" t="s">
        <v>188</v>
      </c>
      <c r="I30" s="33" t="s">
        <v>189</v>
      </c>
      <c r="J30" s="33" t="s">
        <v>189</v>
      </c>
      <c r="K30" s="33" t="s">
        <v>189</v>
      </c>
      <c r="L30" s="33" t="s">
        <v>189</v>
      </c>
      <c r="M30" s="33"/>
      <c r="N30" s="33"/>
      <c r="O30" s="33"/>
      <c r="P30" s="33"/>
      <c r="Q30" s="33"/>
      <c r="R30" s="33"/>
      <c r="S30" s="33"/>
      <c r="T30" s="33"/>
      <c r="U30" s="33"/>
      <c r="V30" s="33"/>
      <c r="W30" s="33"/>
      <c r="X30" s="33"/>
      <c r="Y30" s="33"/>
      <c r="Z30" s="33"/>
      <c r="AA30" s="33"/>
      <c r="AB30" s="33"/>
      <c r="AC30" s="33"/>
      <c r="AD30" s="33"/>
      <c r="AE30" s="33"/>
    </row>
    <row r="31" spans="1:31" s="83" customFormat="1" ht="18.75" customHeight="1" x14ac:dyDescent="0.3">
      <c r="A31" s="107" t="s">
        <v>190</v>
      </c>
      <c r="B31" s="34" t="s">
        <v>58</v>
      </c>
      <c r="C31" s="34" t="s">
        <v>58</v>
      </c>
      <c r="D31" s="34" t="s">
        <v>58</v>
      </c>
      <c r="E31" s="34" t="s">
        <v>191</v>
      </c>
      <c r="F31" s="34" t="s">
        <v>191</v>
      </c>
      <c r="G31" s="34" t="s">
        <v>191</v>
      </c>
      <c r="H31" s="34" t="s">
        <v>192</v>
      </c>
      <c r="I31" s="34" t="s">
        <v>191</v>
      </c>
      <c r="J31" s="34" t="s">
        <v>191</v>
      </c>
      <c r="K31" s="34" t="s">
        <v>58</v>
      </c>
      <c r="L31" s="34" t="s">
        <v>191</v>
      </c>
      <c r="M31" s="34"/>
      <c r="N31" s="34"/>
      <c r="O31" s="34"/>
      <c r="P31" s="34"/>
      <c r="Q31" s="34"/>
      <c r="R31" s="34"/>
      <c r="S31" s="34"/>
      <c r="T31" s="34"/>
      <c r="U31" s="34"/>
      <c r="V31" s="34"/>
      <c r="W31" s="34"/>
      <c r="X31" s="34"/>
      <c r="Y31" s="34"/>
      <c r="Z31" s="34"/>
      <c r="AA31" s="34"/>
      <c r="AB31" s="34"/>
      <c r="AC31" s="34"/>
      <c r="AD31" s="34"/>
      <c r="AE31" s="34"/>
    </row>
    <row r="32" spans="1:31" s="83" customFormat="1" ht="15" customHeight="1" x14ac:dyDescent="0.3">
      <c r="A32" s="108" t="s">
        <v>193</v>
      </c>
      <c r="B32" s="109"/>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row>
    <row r="33" spans="1:31" s="83" customFormat="1" ht="15" customHeight="1" x14ac:dyDescent="0.3">
      <c r="A33" s="110" t="s">
        <v>206</v>
      </c>
      <c r="B33" s="111" t="str">
        <f>IF(HLOOKUP(B$6,CHARMS!$A$6:$CQ$92,36,)&lt;&gt;0,HLOOKUP(B$6,CHARMS!$A$6:$CQ$92,36,),"")</f>
        <v>No information</v>
      </c>
      <c r="C33" s="111" t="str">
        <f>IF(HLOOKUP(C$6,CHARMS!$A$6:$CQ$92,36,)&lt;&gt;0,HLOOKUP(C$6,CHARMS!$A$6:$CQ$92,36,),"")</f>
        <v>No information</v>
      </c>
      <c r="D33" s="111" t="str">
        <f>IF(HLOOKUP(D$6,CHARMS!$A$6:$CQ$92,36,)&lt;&gt;0,HLOOKUP(D$6,CHARMS!$A$6:$CQ$92,36,),"")</f>
        <v>No information</v>
      </c>
      <c r="E33" s="111" t="str">
        <f>IF(HLOOKUP(E$6,CHARMS!$A$6:$CQ$92,36,)&lt;&gt;0,HLOOKUP(E$6,CHARMS!$A$6:$CQ$92,36,),"")</f>
        <v>Yes</v>
      </c>
      <c r="F33" s="111" t="str">
        <f>IF(HLOOKUP(F$6,CHARMS!$A$6:$CQ$92,36,)&lt;&gt;0,HLOOKUP(F$6,CHARMS!$A$6:$CQ$92,36,),"")</f>
        <v>Yes</v>
      </c>
      <c r="G33" s="111" t="str">
        <f>IF(HLOOKUP(G$6,CHARMS!$A$6:$CQ$92,36,)&lt;&gt;0,HLOOKUP(G$6,CHARMS!$A$6:$CQ$92,36,),"")</f>
        <v>Yes</v>
      </c>
      <c r="H33" s="111" t="str">
        <f>IF(HLOOKUP(H$6,CHARMS!$A$6:$CQ$92,36,)&lt;&gt;0,HLOOKUP(H$6,CHARMS!$A$6:$CQ$92,36,),"")</f>
        <v>Yes</v>
      </c>
      <c r="I33" s="111" t="str">
        <f>IF(HLOOKUP(I$6,CHARMS!$A$6:$CQ$92,36,)&lt;&gt;0,HLOOKUP(I$6,CHARMS!$A$6:$CQ$92,36,),"")</f>
        <v>Yes</v>
      </c>
      <c r="J33" s="111" t="str">
        <f>IF(HLOOKUP(J$6,CHARMS!$A$6:$CQ$92,36,)&lt;&gt;0,HLOOKUP(J$6,CHARMS!$A$6:$CQ$92,36,),"")</f>
        <v>Yes</v>
      </c>
      <c r="K33" s="111" t="str">
        <f>IF(HLOOKUP(K$6,CHARMS!$A$6:$CQ$92,36,)&lt;&gt;0,HLOOKUP(K$6,CHARMS!$A$6:$CQ$92,36,),"")</f>
        <v>No</v>
      </c>
      <c r="L33" s="111" t="str">
        <f>IF(HLOOKUP(L$6,CHARMS!$A$6:$CQ$92,36,)&lt;&gt;0,HLOOKUP(L$6,CHARMS!$A$6:$CQ$92,36,),"")</f>
        <v>No</v>
      </c>
      <c r="M33" s="111" t="str">
        <f>IF(HLOOKUP(M$6,CHARMS!$A$6:$CQ$92,36,)&lt;&gt;0,HLOOKUP(M$6,CHARMS!$A$6:$CQ$92,36,),"")</f>
        <v>No</v>
      </c>
      <c r="N33" s="111" t="str">
        <f>IF(HLOOKUP(N$6,CHARMS!$A$6:$CQ$92,36,)&lt;&gt;0,HLOOKUP(N$6,CHARMS!$A$6:$CQ$92,36,),"")</f>
        <v>No</v>
      </c>
      <c r="O33" s="111" t="str">
        <f>IF(HLOOKUP(O$6,CHARMS!$A$6:$CQ$92,36,)&lt;&gt;0,HLOOKUP(O$6,CHARMS!$A$6:$CQ$92,36,),"")</f>
        <v>No</v>
      </c>
      <c r="P33" s="111" t="str">
        <f>IF(HLOOKUP(P$6,CHARMS!$A$6:$CQ$92,36,)&lt;&gt;0,HLOOKUP(P$6,CHARMS!$A$6:$CQ$92,36,),"")</f>
        <v>No</v>
      </c>
      <c r="Q33" s="111" t="str">
        <f>IF(HLOOKUP(Q$6,CHARMS!$A$6:$CQ$92,36,)&lt;&gt;0,HLOOKUP(Q$6,CHARMS!$A$6:$CQ$92,36,),"")</f>
        <v>No</v>
      </c>
      <c r="R33" s="111" t="str">
        <f>IF(HLOOKUP(R$6,CHARMS!$A$6:$CQ$92,36,)&lt;&gt;0,HLOOKUP(R$6,CHARMS!$A$6:$CQ$92,36,),"")</f>
        <v>No</v>
      </c>
      <c r="S33" s="111" t="str">
        <f>IF(HLOOKUP(S$6,CHARMS!$A$6:$CQ$92,36,)&lt;&gt;0,HLOOKUP(S$6,CHARMS!$A$6:$CQ$92,36,),"")</f>
        <v>No</v>
      </c>
      <c r="T33" s="111" t="str">
        <f>IF(HLOOKUP(T$6,CHARMS!$A$6:$CQ$92,36,)&lt;&gt;0,HLOOKUP(T$6,CHARMS!$A$6:$CQ$92,36,),"")</f>
        <v>No</v>
      </c>
      <c r="U33" s="111" t="str">
        <f>IF(HLOOKUP(U$6,CHARMS!$A$6:$CQ$92,36,)&lt;&gt;0,HLOOKUP(U$6,CHARMS!$A$6:$CQ$92,36,),"")</f>
        <v>No</v>
      </c>
      <c r="V33" s="111" t="str">
        <f>IF(HLOOKUP(V$6,CHARMS!$A$6:$CQ$92,36,)&lt;&gt;0,HLOOKUP(V$6,CHARMS!$A$6:$CQ$92,36,),"")</f>
        <v>No</v>
      </c>
      <c r="W33" s="111" t="str">
        <f>IF(HLOOKUP(W$6,CHARMS!$A$6:$CQ$92,36,)&lt;&gt;0,HLOOKUP(W$6,CHARMS!$A$6:$CQ$92,36,),"")</f>
        <v>No</v>
      </c>
      <c r="X33" s="111" t="str">
        <f>IF(HLOOKUP(X$6,CHARMS!$A$6:$CQ$92,36,)&lt;&gt;0,HLOOKUP(X$6,CHARMS!$A$6:$CQ$92,36,),"")</f>
        <v>No</v>
      </c>
      <c r="Y33" s="111" t="str">
        <f>IF(HLOOKUP(Y$6,CHARMS!$A$6:$CQ$92,36,)&lt;&gt;0,HLOOKUP(Y$6,CHARMS!$A$6:$CQ$92,36,),"")</f>
        <v>No</v>
      </c>
      <c r="Z33" s="111" t="str">
        <f>IF(HLOOKUP(Z$6,CHARMS!$A$6:$CQ$92,36,)&lt;&gt;0,HLOOKUP(Z$6,CHARMS!$A$6:$CQ$92,36,),"")</f>
        <v>No</v>
      </c>
      <c r="AA33" s="111" t="str">
        <f>IF(HLOOKUP(AA$6,CHARMS!$A$6:$CQ$92,36,)&lt;&gt;0,HLOOKUP(AA$6,CHARMS!$A$6:$CQ$92,36,),"")</f>
        <v>No</v>
      </c>
      <c r="AB33" s="111" t="str">
        <f>IF(HLOOKUP(AB$6,CHARMS!$A$6:$CQ$92,36,)&lt;&gt;0,HLOOKUP(AB$6,CHARMS!$A$6:$CQ$92,36,),"")</f>
        <v>No</v>
      </c>
      <c r="AC33" s="111" t="str">
        <f>IF(HLOOKUP(AC$6,CHARMS!$A$6:$CQ$92,36,)&lt;&gt;0,HLOOKUP(AC$6,CHARMS!$A$6:$CQ$92,36,),"")</f>
        <v>No</v>
      </c>
      <c r="AD33" s="111" t="str">
        <f>IF(HLOOKUP(AD$6,CHARMS!$A$6:$CQ$92,36,)&lt;&gt;0,HLOOKUP(AD$6,CHARMS!$A$6:$CQ$92,36,),"")</f>
        <v>No</v>
      </c>
      <c r="AE33" s="111" t="str">
        <f>IF(HLOOKUP(AE$6,CHARMS!$A$6:$CQ$92,36,)&lt;&gt;0,HLOOKUP(AE$6,CHARMS!$A$6:$CQ$92,36,),"")</f>
        <v>No</v>
      </c>
    </row>
    <row r="34" spans="1:31" s="83" customFormat="1" ht="15" customHeight="1" x14ac:dyDescent="0.3">
      <c r="A34" s="110" t="s">
        <v>207</v>
      </c>
      <c r="B34" s="111" t="str">
        <f>IF(HLOOKUP(B$6,CHARMS!$A$6:$CQ$92,37,)&lt;&gt;0,HLOOKUP(B$6,CHARMS!$A$6:$CQ$92,37,),"")</f>
        <v>No information</v>
      </c>
      <c r="C34" s="111" t="str">
        <f>IF(HLOOKUP(C$6,CHARMS!$A$6:$CQ$92,37,)&lt;&gt;0,HLOOKUP(C$6,CHARMS!$A$6:$CQ$92,37,),"")</f>
        <v>No information</v>
      </c>
      <c r="D34" s="111" t="str">
        <f>IF(HLOOKUP(D$6,CHARMS!$A$6:$CQ$92,37,)&lt;&gt;0,HLOOKUP(D$6,CHARMS!$A$6:$CQ$92,37,),"")</f>
        <v>No information</v>
      </c>
      <c r="E34" s="111" t="str">
        <f>IF(HLOOKUP(E$6,CHARMS!$A$6:$CQ$92,37,)&lt;&gt;0,HLOOKUP(E$6,CHARMS!$A$6:$CQ$92,37,),"")</f>
        <v>No information</v>
      </c>
      <c r="F34" s="111" t="str">
        <f>IF(HLOOKUP(F$6,CHARMS!$A$6:$CQ$92,37,)&lt;&gt;0,HLOOKUP(F$6,CHARMS!$A$6:$CQ$92,37,),"")</f>
        <v>No information</v>
      </c>
      <c r="G34" s="111" t="str">
        <f>IF(HLOOKUP(G$6,CHARMS!$A$6:$CQ$92,37,)&lt;&gt;0,HLOOKUP(G$6,CHARMS!$A$6:$CQ$92,37,),"")</f>
        <v>No information</v>
      </c>
      <c r="H34" s="111" t="str">
        <f>IF(HLOOKUP(H$6,CHARMS!$A$6:$CQ$92,37,)&lt;&gt;0,HLOOKUP(H$6,CHARMS!$A$6:$CQ$92,37,),"")</f>
        <v>No information</v>
      </c>
      <c r="I34" s="111" t="str">
        <f>IF(HLOOKUP(I$6,CHARMS!$A$6:$CQ$92,37,)&lt;&gt;0,HLOOKUP(I$6,CHARMS!$A$6:$CQ$92,37,),"")</f>
        <v>No information</v>
      </c>
      <c r="J34" s="111" t="str">
        <f>IF(HLOOKUP(J$6,CHARMS!$A$6:$CQ$92,37,)&lt;&gt;0,HLOOKUP(J$6,CHARMS!$A$6:$CQ$92,37,),"")</f>
        <v>No information</v>
      </c>
      <c r="K34" s="111" t="str">
        <f>IF(HLOOKUP(K$6,CHARMS!$A$6:$CQ$92,37,)&lt;&gt;0,HLOOKUP(K$6,CHARMS!$A$6:$CQ$92,37,),"")</f>
        <v>No information</v>
      </c>
      <c r="L34" s="111" t="str">
        <f>IF(HLOOKUP(L$6,CHARMS!$A$6:$CQ$92,37,)&lt;&gt;0,HLOOKUP(L$6,CHARMS!$A$6:$CQ$92,37,),"")</f>
        <v>No information</v>
      </c>
      <c r="M34" s="111" t="str">
        <f>IF(HLOOKUP(M$6,CHARMS!$A$6:$CQ$92,37,)&lt;&gt;0,HLOOKUP(M$6,CHARMS!$A$6:$CQ$92,37,),"")</f>
        <v>No information</v>
      </c>
      <c r="N34" s="111" t="str">
        <f>IF(HLOOKUP(N$6,CHARMS!$A$6:$CQ$92,37,)&lt;&gt;0,HLOOKUP(N$6,CHARMS!$A$6:$CQ$92,37,),"")</f>
        <v>No information</v>
      </c>
      <c r="O34" s="111" t="str">
        <f>IF(HLOOKUP(O$6,CHARMS!$A$6:$CQ$92,37,)&lt;&gt;0,HLOOKUP(O$6,CHARMS!$A$6:$CQ$92,37,),"")</f>
        <v>No information</v>
      </c>
      <c r="P34" s="111" t="str">
        <f>IF(HLOOKUP(P$6,CHARMS!$A$6:$CQ$92,37,)&lt;&gt;0,HLOOKUP(P$6,CHARMS!$A$6:$CQ$92,37,),"")</f>
        <v>No information</v>
      </c>
      <c r="Q34" s="111" t="str">
        <f>IF(HLOOKUP(Q$6,CHARMS!$A$6:$CQ$92,37,)&lt;&gt;0,HLOOKUP(Q$6,CHARMS!$A$6:$CQ$92,37,),"")</f>
        <v>No information</v>
      </c>
      <c r="R34" s="111" t="str">
        <f>IF(HLOOKUP(R$6,CHARMS!$A$6:$CQ$92,37,)&lt;&gt;0,HLOOKUP(R$6,CHARMS!$A$6:$CQ$92,37,),"")</f>
        <v>No information</v>
      </c>
      <c r="S34" s="111" t="str">
        <f>IF(HLOOKUP(S$6,CHARMS!$A$6:$CQ$92,37,)&lt;&gt;0,HLOOKUP(S$6,CHARMS!$A$6:$CQ$92,37,),"")</f>
        <v>No information</v>
      </c>
      <c r="T34" s="111" t="str">
        <f>IF(HLOOKUP(T$6,CHARMS!$A$6:$CQ$92,37,)&lt;&gt;0,HLOOKUP(T$6,CHARMS!$A$6:$CQ$92,37,),"")</f>
        <v>No information</v>
      </c>
      <c r="U34" s="111" t="str">
        <f>IF(HLOOKUP(U$6,CHARMS!$A$6:$CQ$92,37,)&lt;&gt;0,HLOOKUP(U$6,CHARMS!$A$6:$CQ$92,37,),"")</f>
        <v>No information</v>
      </c>
      <c r="V34" s="111" t="str">
        <f>IF(HLOOKUP(V$6,CHARMS!$A$6:$CQ$92,37,)&lt;&gt;0,HLOOKUP(V$6,CHARMS!$A$6:$CQ$92,37,),"")</f>
        <v>No information</v>
      </c>
      <c r="W34" s="111" t="str">
        <f>IF(HLOOKUP(W$6,CHARMS!$A$6:$CQ$92,37,)&lt;&gt;0,HLOOKUP(W$6,CHARMS!$A$6:$CQ$92,37,),"")</f>
        <v>No information</v>
      </c>
      <c r="X34" s="111" t="str">
        <f>IF(HLOOKUP(X$6,CHARMS!$A$6:$CQ$92,37,)&lt;&gt;0,HLOOKUP(X$6,CHARMS!$A$6:$CQ$92,37,),"")</f>
        <v>No information</v>
      </c>
      <c r="Y34" s="111" t="str">
        <f>IF(HLOOKUP(Y$6,CHARMS!$A$6:$CQ$92,37,)&lt;&gt;0,HLOOKUP(Y$6,CHARMS!$A$6:$CQ$92,37,),"")</f>
        <v>No information</v>
      </c>
      <c r="Z34" s="111" t="str">
        <f>IF(HLOOKUP(Z$6,CHARMS!$A$6:$CQ$92,37,)&lt;&gt;0,HLOOKUP(Z$6,CHARMS!$A$6:$CQ$92,37,),"")</f>
        <v>No information</v>
      </c>
      <c r="AA34" s="111" t="str">
        <f>IF(HLOOKUP(AA$6,CHARMS!$A$6:$CQ$92,37,)&lt;&gt;0,HLOOKUP(AA$6,CHARMS!$A$6:$CQ$92,37,),"")</f>
        <v>No information</v>
      </c>
      <c r="AB34" s="111" t="str">
        <f>IF(HLOOKUP(AB$6,CHARMS!$A$6:$CQ$92,37,)&lt;&gt;0,HLOOKUP(AB$6,CHARMS!$A$6:$CQ$92,37,),"")</f>
        <v>No information</v>
      </c>
      <c r="AC34" s="111" t="str">
        <f>IF(HLOOKUP(AC$6,CHARMS!$A$6:$CQ$92,37,)&lt;&gt;0,HLOOKUP(AC$6,CHARMS!$A$6:$CQ$92,37,),"")</f>
        <v>No information</v>
      </c>
      <c r="AD34" s="111" t="str">
        <f>IF(HLOOKUP(AD$6,CHARMS!$A$6:$CQ$92,37,)&lt;&gt;0,HLOOKUP(AD$6,CHARMS!$A$6:$CQ$92,37,),"")</f>
        <v>No information</v>
      </c>
      <c r="AE34" s="111" t="str">
        <f>IF(HLOOKUP(AE$6,CHARMS!$A$6:$CQ$92,37,)&lt;&gt;0,HLOOKUP(AE$6,CHARMS!$A$6:$CQ$92,37,),"")</f>
        <v>No information</v>
      </c>
    </row>
    <row r="35" spans="1:31" s="83" customFormat="1" ht="15" customHeight="1" x14ac:dyDescent="0.3">
      <c r="A35" s="112" t="s">
        <v>208</v>
      </c>
      <c r="B35" s="113" t="str">
        <f>IF(HLOOKUP(B$6,CHARMS!$A$6:$CQ$92,35,)&lt;&gt;0,HLOOKUP(B$6,CHARMS!$A$6:$CQ$92,35,),"")</f>
        <v>No information</v>
      </c>
      <c r="C35" s="113" t="str">
        <f>IF(HLOOKUP(C$6,CHARMS!$A$6:$CQ$92,35,)&lt;&gt;0,HLOOKUP(C$6,CHARMS!$A$6:$CQ$92,35,),"")</f>
        <v>No information</v>
      </c>
      <c r="D35" s="113" t="str">
        <f>IF(HLOOKUP(D$6,CHARMS!$A$6:$CQ$92,35,)&lt;&gt;0,HLOOKUP(D$6,CHARMS!$A$6:$CQ$92,35,),"")</f>
        <v>No information</v>
      </c>
      <c r="E35" s="113" t="str">
        <f>IF(HLOOKUP(E$6,CHARMS!$A$6:$CQ$92,35,)&lt;&gt;0,HLOOKUP(E$6,CHARMS!$A$6:$CQ$92,35,),"")</f>
        <v>pre- and post-procedural</v>
      </c>
      <c r="F35" s="113" t="str">
        <f>IF(HLOOKUP(F$6,CHARMS!$A$6:$CQ$92,35,)&lt;&gt;0,HLOOKUP(F$6,CHARMS!$A$6:$CQ$92,35,),"")</f>
        <v>pre- and post-procedural</v>
      </c>
      <c r="G35" s="113" t="str">
        <f>IF(HLOOKUP(G$6,CHARMS!$A$6:$CQ$92,35,)&lt;&gt;0,HLOOKUP(G$6,CHARMS!$A$6:$CQ$92,35,),"")</f>
        <v>pre-procedural</v>
      </c>
      <c r="H35" s="113" t="str">
        <f>IF(HLOOKUP(H$6,CHARMS!$A$6:$CQ$92,35,)&lt;&gt;0,HLOOKUP(H$6,CHARMS!$A$6:$CQ$92,35,),"")</f>
        <v>pre-procedural and procedural</v>
      </c>
      <c r="I35" s="113" t="str">
        <f>IF(HLOOKUP(I$6,CHARMS!$A$6:$CQ$92,35,)&lt;&gt;0,HLOOKUP(I$6,CHARMS!$A$6:$CQ$92,35,),"")</f>
        <v>pre-procedural and procedural</v>
      </c>
      <c r="J35" s="113" t="str">
        <f>IF(HLOOKUP(J$6,CHARMS!$A$6:$CQ$92,35,)&lt;&gt;0,HLOOKUP(J$6,CHARMS!$A$6:$CQ$92,35,),"")</f>
        <v>Pre-operative</v>
      </c>
      <c r="K35" s="113" t="str">
        <f>IF(HLOOKUP(K$6,CHARMS!$A$6:$CQ$92,35,)&lt;&gt;0,HLOOKUP(K$6,CHARMS!$A$6:$CQ$92,35,),"")</f>
        <v>Pre-operative</v>
      </c>
      <c r="L35" s="113" t="str">
        <f>IF(HLOOKUP(L$6,CHARMS!$A$6:$CQ$92,35,)&lt;&gt;0,HLOOKUP(L$6,CHARMS!$A$6:$CQ$92,35,),"")</f>
        <v>Pre-operative</v>
      </c>
      <c r="M35" s="113" t="str">
        <f>IF(HLOOKUP(M$6,CHARMS!$A$6:$CQ$92,35,)&lt;&gt;0,HLOOKUP(M$6,CHARMS!$A$6:$CQ$92,35,),"")</f>
        <v>Pre-operative</v>
      </c>
      <c r="N35" s="113" t="str">
        <f>IF(HLOOKUP(N$6,CHARMS!$A$6:$CQ$92,35,)&lt;&gt;0,HLOOKUP(N$6,CHARMS!$A$6:$CQ$92,35,),"")</f>
        <v>Pre-operative</v>
      </c>
      <c r="O35" s="113" t="str">
        <f>IF(HLOOKUP(O$6,CHARMS!$A$6:$CQ$92,35,)&lt;&gt;0,HLOOKUP(O$6,CHARMS!$A$6:$CQ$92,35,),"")</f>
        <v>Pre-operative</v>
      </c>
      <c r="P35" s="113" t="str">
        <f>IF(HLOOKUP(P$6,CHARMS!$A$6:$CQ$92,35,)&lt;&gt;0,HLOOKUP(P$6,CHARMS!$A$6:$CQ$92,35,),"")</f>
        <v>Pre-operative</v>
      </c>
      <c r="Q35" s="113" t="str">
        <f>IF(HLOOKUP(Q$6,CHARMS!$A$6:$CQ$92,35,)&lt;&gt;0,HLOOKUP(Q$6,CHARMS!$A$6:$CQ$92,35,),"")</f>
        <v>Pre-operative</v>
      </c>
      <c r="R35" s="113" t="str">
        <f>IF(HLOOKUP(R$6,CHARMS!$A$6:$CQ$92,35,)&lt;&gt;0,HLOOKUP(R$6,CHARMS!$A$6:$CQ$92,35,),"")</f>
        <v>Pre-operative</v>
      </c>
      <c r="S35" s="113" t="str">
        <f>IF(HLOOKUP(S$6,CHARMS!$A$6:$CQ$92,35,)&lt;&gt;0,HLOOKUP(S$6,CHARMS!$A$6:$CQ$92,35,),"")</f>
        <v>Pre-operative</v>
      </c>
      <c r="T35" s="113" t="str">
        <f>IF(HLOOKUP(T$6,CHARMS!$A$6:$CQ$92,35,)&lt;&gt;0,HLOOKUP(T$6,CHARMS!$A$6:$CQ$92,35,),"")</f>
        <v>Pre-operative</v>
      </c>
      <c r="U35" s="113" t="str">
        <f>IF(HLOOKUP(U$6,CHARMS!$A$6:$CQ$92,35,)&lt;&gt;0,HLOOKUP(U$6,CHARMS!$A$6:$CQ$92,35,),"")</f>
        <v>Pre-operative</v>
      </c>
      <c r="V35" s="113" t="str">
        <f>IF(HLOOKUP(V$6,CHARMS!$A$6:$CQ$92,35,)&lt;&gt;0,HLOOKUP(V$6,CHARMS!$A$6:$CQ$92,35,),"")</f>
        <v>Pre-operative</v>
      </c>
      <c r="W35" s="113" t="str">
        <f>IF(HLOOKUP(W$6,CHARMS!$A$6:$CQ$92,35,)&lt;&gt;0,HLOOKUP(W$6,CHARMS!$A$6:$CQ$92,35,),"")</f>
        <v>Pre-operative</v>
      </c>
      <c r="X35" s="113" t="str">
        <f>IF(HLOOKUP(X$6,CHARMS!$A$6:$CQ$92,35,)&lt;&gt;0,HLOOKUP(X$6,CHARMS!$A$6:$CQ$92,35,),"")</f>
        <v>Pre-operative</v>
      </c>
      <c r="Y35" s="113" t="str">
        <f>IF(HLOOKUP(Y$6,CHARMS!$A$6:$CQ$92,35,)&lt;&gt;0,HLOOKUP(Y$6,CHARMS!$A$6:$CQ$92,35,),"")</f>
        <v>Pre-operative</v>
      </c>
      <c r="Z35" s="113" t="str">
        <f>IF(HLOOKUP(Z$6,CHARMS!$A$6:$CQ$92,35,)&lt;&gt;0,HLOOKUP(Z$6,CHARMS!$A$6:$CQ$92,35,),"")</f>
        <v>Pre-operative</v>
      </c>
      <c r="AA35" s="113" t="str">
        <f>IF(HLOOKUP(AA$6,CHARMS!$A$6:$CQ$92,35,)&lt;&gt;0,HLOOKUP(AA$6,CHARMS!$A$6:$CQ$92,35,),"")</f>
        <v>Pre-operative</v>
      </c>
      <c r="AB35" s="113" t="str">
        <f>IF(HLOOKUP(AB$6,CHARMS!$A$6:$CQ$92,35,)&lt;&gt;0,HLOOKUP(AB$6,CHARMS!$A$6:$CQ$92,35,),"")</f>
        <v>Pre-operative</v>
      </c>
      <c r="AC35" s="113" t="str">
        <f>IF(HLOOKUP(AC$6,CHARMS!$A$6:$CQ$92,35,)&lt;&gt;0,HLOOKUP(AC$6,CHARMS!$A$6:$CQ$92,35,),"")</f>
        <v>Pre-operative</v>
      </c>
      <c r="AD35" s="113" t="str">
        <f>IF(HLOOKUP(AD$6,CHARMS!$A$6:$CQ$92,35,)&lt;&gt;0,HLOOKUP(AD$6,CHARMS!$A$6:$CQ$92,35,),"")</f>
        <v>Pre-operative</v>
      </c>
      <c r="AE35" s="113" t="str">
        <f>IF(HLOOKUP(AE$6,CHARMS!$A$6:$CQ$92,35,)&lt;&gt;0,HLOOKUP(AE$6,CHARMS!$A$6:$CQ$92,35,),"")</f>
        <v>Pre-operative</v>
      </c>
    </row>
    <row r="36" spans="1:31" s="83" customFormat="1" ht="75" customHeight="1" x14ac:dyDescent="0.3">
      <c r="A36" s="114" t="s">
        <v>200</v>
      </c>
      <c r="B36" s="29" t="s">
        <v>50</v>
      </c>
      <c r="C36" s="29" t="s">
        <v>50</v>
      </c>
      <c r="D36" s="29" t="s">
        <v>50</v>
      </c>
      <c r="E36" s="29" t="s">
        <v>432</v>
      </c>
      <c r="F36" s="29" t="s">
        <v>433</v>
      </c>
      <c r="G36" s="29"/>
      <c r="H36" s="29" t="s">
        <v>434</v>
      </c>
      <c r="I36" s="29" t="s">
        <v>435</v>
      </c>
      <c r="J36" s="29" t="s">
        <v>436</v>
      </c>
      <c r="K36" s="29" t="s">
        <v>209</v>
      </c>
      <c r="L36" s="29" t="s">
        <v>210</v>
      </c>
      <c r="M36" s="29"/>
      <c r="N36" s="29"/>
      <c r="O36" s="29"/>
      <c r="P36" s="29"/>
      <c r="Q36" s="29"/>
      <c r="R36" s="29"/>
      <c r="S36" s="29"/>
      <c r="T36" s="29"/>
      <c r="U36" s="29"/>
      <c r="V36" s="29"/>
      <c r="W36" s="29"/>
      <c r="X36" s="29"/>
      <c r="Y36" s="29"/>
      <c r="Z36" s="29"/>
      <c r="AA36" s="29"/>
      <c r="AB36" s="29"/>
      <c r="AC36" s="29"/>
      <c r="AD36" s="29"/>
      <c r="AE36" s="29"/>
    </row>
    <row r="37" spans="1:31" ht="18.75" customHeight="1" x14ac:dyDescent="0.3">
      <c r="A37" s="94" t="s">
        <v>211</v>
      </c>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row>
    <row r="38" spans="1:31" s="104" customFormat="1" ht="15" customHeight="1" x14ac:dyDescent="0.3">
      <c r="A38" s="103" t="s">
        <v>212</v>
      </c>
      <c r="B38" s="27" t="s">
        <v>186</v>
      </c>
      <c r="C38" s="27" t="s">
        <v>186</v>
      </c>
      <c r="D38" s="27" t="s">
        <v>186</v>
      </c>
      <c r="E38" s="27" t="s">
        <v>83</v>
      </c>
      <c r="F38" s="27" t="s">
        <v>83</v>
      </c>
      <c r="G38" s="27" t="s">
        <v>83</v>
      </c>
      <c r="H38" s="27" t="s">
        <v>83</v>
      </c>
      <c r="I38" s="27" t="s">
        <v>83</v>
      </c>
      <c r="J38" s="27" t="s">
        <v>83</v>
      </c>
      <c r="K38" s="27" t="s">
        <v>83</v>
      </c>
      <c r="L38" s="27" t="s">
        <v>83</v>
      </c>
      <c r="M38" s="27"/>
      <c r="N38" s="27"/>
      <c r="O38" s="27"/>
      <c r="P38" s="27"/>
      <c r="Q38" s="27"/>
      <c r="R38" s="27"/>
      <c r="S38" s="27"/>
      <c r="T38" s="27"/>
      <c r="U38" s="27"/>
      <c r="V38" s="27"/>
      <c r="W38" s="27"/>
      <c r="X38" s="27"/>
      <c r="Y38" s="27"/>
      <c r="Z38" s="27"/>
      <c r="AA38" s="27"/>
      <c r="AB38" s="27"/>
      <c r="AC38" s="27"/>
      <c r="AD38" s="27"/>
      <c r="AE38" s="27"/>
    </row>
    <row r="39" spans="1:31" s="104" customFormat="1" ht="15" customHeight="1" x14ac:dyDescent="0.3">
      <c r="A39" s="115" t="s">
        <v>213</v>
      </c>
      <c r="B39" s="30" t="s">
        <v>186</v>
      </c>
      <c r="C39" s="30" t="s">
        <v>186</v>
      </c>
      <c r="D39" s="30" t="s">
        <v>186</v>
      </c>
      <c r="E39" s="30" t="s">
        <v>83</v>
      </c>
      <c r="F39" s="30" t="s">
        <v>83</v>
      </c>
      <c r="G39" s="30" t="s">
        <v>83</v>
      </c>
      <c r="H39" s="30" t="s">
        <v>83</v>
      </c>
      <c r="I39" s="30" t="s">
        <v>83</v>
      </c>
      <c r="J39" s="30" t="s">
        <v>83</v>
      </c>
      <c r="K39" s="30" t="s">
        <v>83</v>
      </c>
      <c r="L39" s="30" t="s">
        <v>83</v>
      </c>
      <c r="M39" s="30"/>
      <c r="N39" s="30"/>
      <c r="O39" s="30"/>
      <c r="P39" s="30"/>
      <c r="Q39" s="30"/>
      <c r="R39" s="30"/>
      <c r="S39" s="30"/>
      <c r="T39" s="30"/>
      <c r="U39" s="30"/>
      <c r="V39" s="30"/>
      <c r="W39" s="30"/>
      <c r="X39" s="30"/>
      <c r="Y39" s="30"/>
      <c r="Z39" s="30"/>
      <c r="AA39" s="30"/>
      <c r="AB39" s="30"/>
      <c r="AC39" s="30"/>
      <c r="AD39" s="30"/>
      <c r="AE39" s="30"/>
    </row>
    <row r="40" spans="1:31" s="104" customFormat="1" ht="15" customHeight="1" x14ac:dyDescent="0.3">
      <c r="A40" s="115" t="s">
        <v>214</v>
      </c>
      <c r="B40" s="30" t="s">
        <v>183</v>
      </c>
      <c r="C40" s="30" t="s">
        <v>183</v>
      </c>
      <c r="D40" s="30" t="s">
        <v>183</v>
      </c>
      <c r="E40" s="30" t="s">
        <v>83</v>
      </c>
      <c r="F40" s="30" t="s">
        <v>83</v>
      </c>
      <c r="G40" s="30" t="s">
        <v>83</v>
      </c>
      <c r="H40" s="30" t="s">
        <v>183</v>
      </c>
      <c r="I40" s="30" t="s">
        <v>83</v>
      </c>
      <c r="J40" s="30" t="s">
        <v>183</v>
      </c>
      <c r="K40" s="30" t="s">
        <v>83</v>
      </c>
      <c r="L40" s="30" t="s">
        <v>83</v>
      </c>
      <c r="M40" s="30"/>
      <c r="N40" s="30"/>
      <c r="O40" s="30"/>
      <c r="P40" s="30"/>
      <c r="Q40" s="30"/>
      <c r="R40" s="30"/>
      <c r="S40" s="30"/>
      <c r="T40" s="30"/>
      <c r="U40" s="30"/>
      <c r="V40" s="30"/>
      <c r="W40" s="30"/>
      <c r="X40" s="30"/>
      <c r="Y40" s="30"/>
      <c r="Z40" s="30"/>
      <c r="AA40" s="30"/>
      <c r="AB40" s="30"/>
      <c r="AC40" s="30"/>
      <c r="AD40" s="30"/>
      <c r="AE40" s="30"/>
    </row>
    <row r="41" spans="1:31" s="104" customFormat="1" ht="15" customHeight="1" x14ac:dyDescent="0.3">
      <c r="A41" s="115" t="s">
        <v>215</v>
      </c>
      <c r="B41" s="30" t="s">
        <v>186</v>
      </c>
      <c r="C41" s="30" t="s">
        <v>186</v>
      </c>
      <c r="D41" s="30" t="s">
        <v>186</v>
      </c>
      <c r="E41" s="30" t="s">
        <v>183</v>
      </c>
      <c r="F41" s="30" t="s">
        <v>183</v>
      </c>
      <c r="G41" s="30" t="s">
        <v>183</v>
      </c>
      <c r="H41" s="30" t="s">
        <v>183</v>
      </c>
      <c r="I41" s="30" t="s">
        <v>183</v>
      </c>
      <c r="J41" s="30" t="s">
        <v>183</v>
      </c>
      <c r="K41" s="30" t="s">
        <v>83</v>
      </c>
      <c r="L41" s="30" t="s">
        <v>83</v>
      </c>
      <c r="M41" s="30"/>
      <c r="N41" s="30"/>
      <c r="O41" s="30"/>
      <c r="P41" s="30"/>
      <c r="Q41" s="30"/>
      <c r="R41" s="30"/>
      <c r="S41" s="30"/>
      <c r="T41" s="30"/>
      <c r="U41" s="30"/>
      <c r="V41" s="30"/>
      <c r="W41" s="30"/>
      <c r="X41" s="30"/>
      <c r="Y41" s="30"/>
      <c r="Z41" s="30"/>
      <c r="AA41" s="30"/>
      <c r="AB41" s="30"/>
      <c r="AC41" s="30"/>
      <c r="AD41" s="30"/>
      <c r="AE41" s="30"/>
    </row>
    <row r="42" spans="1:31" s="104" customFormat="1" ht="15" customHeight="1" x14ac:dyDescent="0.3">
      <c r="A42" s="115" t="s">
        <v>216</v>
      </c>
      <c r="B42" s="30" t="s">
        <v>186</v>
      </c>
      <c r="C42" s="30" t="s">
        <v>186</v>
      </c>
      <c r="D42" s="30" t="s">
        <v>186</v>
      </c>
      <c r="E42" s="30" t="s">
        <v>186</v>
      </c>
      <c r="F42" s="30" t="s">
        <v>186</v>
      </c>
      <c r="G42" s="30" t="s">
        <v>186</v>
      </c>
      <c r="H42" s="30" t="s">
        <v>186</v>
      </c>
      <c r="I42" s="30" t="s">
        <v>186</v>
      </c>
      <c r="J42" s="30" t="s">
        <v>186</v>
      </c>
      <c r="K42" s="30" t="s">
        <v>186</v>
      </c>
      <c r="L42" s="30" t="s">
        <v>186</v>
      </c>
      <c r="M42" s="30"/>
      <c r="N42" s="30"/>
      <c r="O42" s="30"/>
      <c r="P42" s="30"/>
      <c r="Q42" s="30"/>
      <c r="R42" s="30"/>
      <c r="S42" s="30"/>
      <c r="T42" s="30"/>
      <c r="U42" s="30"/>
      <c r="V42" s="30"/>
      <c r="W42" s="30"/>
      <c r="X42" s="30"/>
      <c r="Y42" s="30"/>
      <c r="Z42" s="30"/>
      <c r="AA42" s="30"/>
      <c r="AB42" s="30"/>
      <c r="AC42" s="30"/>
      <c r="AD42" s="30"/>
      <c r="AE42" s="30"/>
    </row>
    <row r="43" spans="1:31" s="104" customFormat="1" ht="15" customHeight="1" x14ac:dyDescent="0.3">
      <c r="A43" s="105" t="s">
        <v>217</v>
      </c>
      <c r="B43" s="28" t="s">
        <v>183</v>
      </c>
      <c r="C43" s="28" t="s">
        <v>183</v>
      </c>
      <c r="D43" s="28" t="s">
        <v>183</v>
      </c>
      <c r="E43" s="28" t="s">
        <v>183</v>
      </c>
      <c r="F43" s="28" t="s">
        <v>183</v>
      </c>
      <c r="G43" s="28" t="s">
        <v>183</v>
      </c>
      <c r="H43" s="28" t="s">
        <v>183</v>
      </c>
      <c r="I43" s="28" t="s">
        <v>183</v>
      </c>
      <c r="J43" s="28" t="s">
        <v>183</v>
      </c>
      <c r="K43" s="28" t="s">
        <v>183</v>
      </c>
      <c r="L43" s="28" t="s">
        <v>183</v>
      </c>
      <c r="M43" s="28"/>
      <c r="N43" s="28"/>
      <c r="O43" s="28"/>
      <c r="P43" s="28"/>
      <c r="Q43" s="28"/>
      <c r="R43" s="28"/>
      <c r="S43" s="28"/>
      <c r="T43" s="28"/>
      <c r="U43" s="28"/>
      <c r="V43" s="28"/>
      <c r="W43" s="28"/>
      <c r="X43" s="28"/>
      <c r="Y43" s="28"/>
      <c r="Z43" s="28"/>
      <c r="AA43" s="28"/>
      <c r="AB43" s="28"/>
      <c r="AC43" s="28"/>
      <c r="AD43" s="28"/>
      <c r="AE43" s="28"/>
    </row>
    <row r="44" spans="1:31" s="83" customFormat="1" ht="18.75" customHeight="1" x14ac:dyDescent="0.3">
      <c r="A44" s="106" t="s">
        <v>218</v>
      </c>
      <c r="B44" s="33" t="s">
        <v>58</v>
      </c>
      <c r="C44" s="33" t="s">
        <v>58</v>
      </c>
      <c r="D44" s="33" t="s">
        <v>58</v>
      </c>
      <c r="E44" s="33" t="s">
        <v>189</v>
      </c>
      <c r="F44" s="33" t="s">
        <v>189</v>
      </c>
      <c r="G44" s="33" t="s">
        <v>189</v>
      </c>
      <c r="H44" s="33" t="s">
        <v>189</v>
      </c>
      <c r="I44" s="33" t="s">
        <v>189</v>
      </c>
      <c r="J44" s="33" t="s">
        <v>189</v>
      </c>
      <c r="K44" s="33" t="s">
        <v>189</v>
      </c>
      <c r="L44" s="33" t="s">
        <v>189</v>
      </c>
      <c r="M44" s="33"/>
      <c r="N44" s="33"/>
      <c r="O44" s="33"/>
      <c r="P44" s="33"/>
      <c r="Q44" s="33"/>
      <c r="R44" s="33"/>
      <c r="S44" s="33"/>
      <c r="T44" s="33"/>
      <c r="U44" s="33"/>
      <c r="V44" s="33"/>
      <c r="W44" s="33"/>
      <c r="X44" s="33"/>
      <c r="Y44" s="33"/>
      <c r="Z44" s="33"/>
      <c r="AA44" s="33"/>
      <c r="AB44" s="33"/>
      <c r="AC44" s="33"/>
      <c r="AD44" s="33"/>
      <c r="AE44" s="33"/>
    </row>
    <row r="45" spans="1:31" s="83" customFormat="1" ht="18.75" customHeight="1" x14ac:dyDescent="0.3">
      <c r="A45" s="107" t="s">
        <v>190</v>
      </c>
      <c r="B45" s="34" t="s">
        <v>58</v>
      </c>
      <c r="C45" s="34" t="s">
        <v>58</v>
      </c>
      <c r="D45" s="34" t="s">
        <v>58</v>
      </c>
      <c r="E45" s="34" t="s">
        <v>191</v>
      </c>
      <c r="F45" s="34" t="s">
        <v>191</v>
      </c>
      <c r="G45" s="34" t="s">
        <v>191</v>
      </c>
      <c r="H45" s="34" t="s">
        <v>191</v>
      </c>
      <c r="I45" s="34" t="s">
        <v>191</v>
      </c>
      <c r="J45" s="34" t="s">
        <v>191</v>
      </c>
      <c r="K45" s="34" t="s">
        <v>191</v>
      </c>
      <c r="L45" s="34" t="s">
        <v>191</v>
      </c>
      <c r="M45" s="34"/>
      <c r="N45" s="34"/>
      <c r="O45" s="34"/>
      <c r="P45" s="34"/>
      <c r="Q45" s="34"/>
      <c r="R45" s="34"/>
      <c r="S45" s="34"/>
      <c r="T45" s="34"/>
      <c r="U45" s="34"/>
      <c r="V45" s="34"/>
      <c r="W45" s="34"/>
      <c r="X45" s="34"/>
      <c r="Y45" s="34"/>
      <c r="Z45" s="34"/>
      <c r="AA45" s="34"/>
      <c r="AB45" s="34"/>
      <c r="AC45" s="34"/>
      <c r="AD45" s="34"/>
      <c r="AE45" s="34"/>
    </row>
    <row r="46" spans="1:31" s="83" customFormat="1" ht="15" customHeight="1" x14ac:dyDescent="0.3">
      <c r="A46" s="108" t="s">
        <v>193</v>
      </c>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row>
    <row r="47" spans="1:31" s="83" customFormat="1" ht="45" customHeight="1" x14ac:dyDescent="0.3">
      <c r="A47" s="110" t="s">
        <v>219</v>
      </c>
      <c r="B47" s="111" t="str">
        <f>IF(HLOOKUP(B$6,CHARMS!$A$6:$CQ$89,26,)&lt;&gt;0,HLOOKUP(B$6,CHARMS!$A$6:$CQ$92,26,),"")</f>
        <v>No information</v>
      </c>
      <c r="C47" s="111" t="str">
        <f>IF(HLOOKUP(C$6,CHARMS!$A$6:$CQ$89,26,)&lt;&gt;0,HLOOKUP(C$6,CHARMS!$A$6:$CQ$92,26,),"")</f>
        <v>In-hospital bleeding</v>
      </c>
      <c r="D47" s="111" t="str">
        <f>IF(HLOOKUP(D$6,CHARMS!$A$6:$CQ$89,26,)&lt;&gt;0,HLOOKUP(D$6,CHARMS!$A$6:$CQ$92,26,),"")</f>
        <v>In-hospital bleeding</v>
      </c>
      <c r="E47" s="111" t="str">
        <f>IF(HLOOKUP(E$6,CHARMS!$A$6:$CQ$89,26,)&lt;&gt;0,HLOOKUP(E$6,CHARMS!$A$6:$CQ$92,26,),"")</f>
        <v>1) Major bleeding occurring within 72 hours after the PCI or before discharge is said to have occurred if there is a site-reported bleed (external or hematoma &gt;10 cm, &gt;5 cm, and &gt;2 cm for femoral, brachial, and radial access, respectively); 2) Bleeds reflecting a post-PCI hemoglobin decrease of 3 g/dL in patients with a pre-PCI level of at least 16 g/dL; 3) Any non-surgery blood transfusion for pre procedure hemoglobin levels of at least 8 g/dL; 4) intracranial hemorrhage,
cardiac tamponade, and gastrointestinal or retroperitoneal bleeding.</v>
      </c>
      <c r="F47" s="111" t="str">
        <f>IF(HLOOKUP(F$6,CHARMS!$A$6:$CQ$89,26,)&lt;&gt;0,HLOOKUP(F$6,CHARMS!$A$6:$CQ$92,26,),"")</f>
        <v>any ONE of the following: (1) bleeding event w/in 72 hours; OR (2) haemorrhagic stroke; OR (3) tamponade; OR (4) post-PCI transfusion for patients with a pre-procedure haemoglobin &gt;80 g/L and pre-procedure haemoglobin not missing; OR (5) absolute haemoglobin decrease from pre-PCI to post-PCI of ≥30 g/L AND pre-procedure haemoglobin ≤160 g/L AND pre-procedure haemoglobin not missing</v>
      </c>
      <c r="G47" s="111" t="str">
        <f>IF(HLOOKUP(G$6,CHARMS!$A$6:$CQ$89,26,)&lt;&gt;0,HLOOKUP(G$6,CHARMS!$A$6:$CQ$92,26,),"")</f>
        <v>Bleeding was defined as any of the following occurring within 72 h after PCI or before hospital discharge (whichever occurs first): site-reported arterial access site bleeding; retroperitoneal, gastrointestinal, genitourinary bleeding, intracranial hemorrhage, cardiac tamponade, or post-procedure hemoglobin decrease of 3 g/dl in patients with pre-procedure haemoglobin ≤ 16 g/dl, or post procedure non-bypass surgery-related blood transfusion for patients with a pre-procedure haemoglobin ≥ 8 g/dl.</v>
      </c>
      <c r="H47" s="111" t="str">
        <f>IF(HLOOKUP(H$6,CHARMS!$A$6:$CQ$89,26,)&lt;&gt;0,HLOOKUP(H$6,CHARMS!$A$6:$CQ$92,26,),"")</f>
        <v>bleeding within 72 hours of PCI and prior to hospital discharge. Bleeding was defined according to the National Cardiovascular Data Registry (NCDR), which considers retroperitoneal, gastrointestinal, genitourinary, and intracranial bleeding, as well as access-site hematoma, as bleeding events.</v>
      </c>
      <c r="I47" s="111" t="str">
        <f>IF(HLOOKUP(I$6,CHARMS!$A$6:$CQ$89,26,)&lt;&gt;0,HLOOKUP(I$6,CHARMS!$A$6:$CQ$92,26,),"")</f>
        <v xml:space="preserve"> BARC type 3 or 5 of non-coronary artery bypass grafting–related bleeding</v>
      </c>
      <c r="J47" s="111" t="str">
        <f>IF(HLOOKUP(J$6,CHARMS!$A$6:$CQ$89,26,)&lt;&gt;0,HLOOKUP(J$6,CHARMS!$A$6:$CQ$92,26,),"")</f>
        <v>Bleeding was defined using the definition employed in prior NCDR risk models as a hemoglobin drop ≥ 3 g/dL, whole blood or packed red blood cell transfusion, or intervention/surgery at the bleeding site to reverse/stop or correct bleeding.</v>
      </c>
      <c r="K47" s="111" t="str">
        <f>IF(HLOOKUP(K$6,CHARMS!$A$6:$CQ$89,26,)&lt;&gt;0,HLOOKUP(K$6,CHARMS!$A$6:$CQ$92,26,),"")</f>
        <v>Death occurring within the first 30 days after cardiac surgery.</v>
      </c>
      <c r="L47" s="111" t="str">
        <f>IF(HLOOKUP(L$6,CHARMS!$A$6:$CQ$89,26,)&lt;&gt;0,HLOOKUP(L$6,CHARMS!$A$6:$CQ$92,26,),"")</f>
        <v>Death occurring within the first 30 days after cardiac surgery.</v>
      </c>
      <c r="M47" s="111" t="str">
        <f>IF(HLOOKUP(M$6,CHARMS!$A$6:$CQ$89,26,)&lt;&gt;0,HLOOKUP(M$6,CHARMS!$A$6:$CQ$92,26,),"")</f>
        <v>Death occurring within the first 30 days after cardiac surgery.</v>
      </c>
      <c r="N47" s="111" t="str">
        <f>IF(HLOOKUP(N$6,CHARMS!$A$6:$CQ$89,26,)&lt;&gt;0,HLOOKUP(N$6,CHARMS!$A$6:$CQ$92,26,),"")</f>
        <v>Death occurring within the first 30 days after cardiac surgery.</v>
      </c>
      <c r="O47" s="111" t="str">
        <f>IF(HLOOKUP(O$6,CHARMS!$A$6:$CQ$89,26,)&lt;&gt;0,HLOOKUP(O$6,CHARMS!$A$6:$CQ$92,26,),"")</f>
        <v>Death occurring within the first 30 days after cardiac surgery.</v>
      </c>
      <c r="P47" s="111" t="str">
        <f>IF(HLOOKUP(P$6,CHARMS!$A$6:$CQ$89,26,)&lt;&gt;0,HLOOKUP(P$6,CHARMS!$A$6:$CQ$92,26,),"")</f>
        <v>Death occurring within the first 30 days after cardiac surgery.</v>
      </c>
      <c r="Q47" s="111" t="str">
        <f>IF(HLOOKUP(Q$6,CHARMS!$A$6:$CQ$89,26,)&lt;&gt;0,HLOOKUP(Q$6,CHARMS!$A$6:$CQ$92,26,),"")</f>
        <v>Death occurring within the first 30 days after cardiac surgery.</v>
      </c>
      <c r="R47" s="111" t="str">
        <f>IF(HLOOKUP(R$6,CHARMS!$A$6:$CQ$89,26,)&lt;&gt;0,HLOOKUP(R$6,CHARMS!$A$6:$CQ$92,26,),"")</f>
        <v>Death occurring within the first 30 days after cardiac surgery.</v>
      </c>
      <c r="S47" s="111" t="str">
        <f>IF(HLOOKUP(S$6,CHARMS!$A$6:$CQ$89,26,)&lt;&gt;0,HLOOKUP(S$6,CHARMS!$A$6:$CQ$92,26,),"")</f>
        <v>Death occurring within the first 30 days after cardiac surgery.</v>
      </c>
      <c r="T47" s="111" t="str">
        <f>IF(HLOOKUP(T$6,CHARMS!$A$6:$CQ$89,26,)&lt;&gt;0,HLOOKUP(T$6,CHARMS!$A$6:$CQ$92,26,),"")</f>
        <v>Death occurring within the first 30 days after cardiac surgery.</v>
      </c>
      <c r="U47" s="111" t="str">
        <f>IF(HLOOKUP(U$6,CHARMS!$A$6:$CQ$89,26,)&lt;&gt;0,HLOOKUP(U$6,CHARMS!$A$6:$CQ$92,26,),"")</f>
        <v>Death occurring within the first 30 days after cardiac surgery.</v>
      </c>
      <c r="V47" s="111" t="str">
        <f>IF(HLOOKUP(V$6,CHARMS!$A$6:$CQ$89,26,)&lt;&gt;0,HLOOKUP(V$6,CHARMS!$A$6:$CQ$92,26,),"")</f>
        <v>Death occurring within the first 30 days after cardiac surgery.</v>
      </c>
      <c r="W47" s="111" t="str">
        <f>IF(HLOOKUP(W$6,CHARMS!$A$6:$CQ$89,26,)&lt;&gt;0,HLOOKUP(W$6,CHARMS!$A$6:$CQ$92,26,),"")</f>
        <v>Death occurring within the first 30 days after cardiac surgery.</v>
      </c>
      <c r="X47" s="111" t="str">
        <f>IF(HLOOKUP(X$6,CHARMS!$A$6:$CQ$89,26,)&lt;&gt;0,HLOOKUP(X$6,CHARMS!$A$6:$CQ$92,26,),"")</f>
        <v>Death occurring within the first 30 days after cardiac surgery.</v>
      </c>
      <c r="Y47" s="111" t="str">
        <f>IF(HLOOKUP(Y$6,CHARMS!$A$6:$CQ$89,26,)&lt;&gt;0,HLOOKUP(Y$6,CHARMS!$A$6:$CQ$92,26,),"")</f>
        <v>Death occurring within the first 30 days after cardiac surgery.</v>
      </c>
      <c r="Z47" s="111" t="str">
        <f>IF(HLOOKUP(Z$6,CHARMS!$A$6:$CQ$89,26,)&lt;&gt;0,HLOOKUP(Z$6,CHARMS!$A$6:$CQ$92,26,),"")</f>
        <v>Death occurring within the first 30 days after cardiac surgery.</v>
      </c>
      <c r="AA47" s="111" t="str">
        <f>IF(HLOOKUP(AA$6,CHARMS!$A$6:$CQ$89,26,)&lt;&gt;0,HLOOKUP(AA$6,CHARMS!$A$6:$CQ$92,26,),"")</f>
        <v>Death occurring within the first 30 days after cardiac surgery.</v>
      </c>
      <c r="AB47" s="111" t="str">
        <f>IF(HLOOKUP(AB$6,CHARMS!$A$6:$CQ$89,26,)&lt;&gt;0,HLOOKUP(AB$6,CHARMS!$A$6:$CQ$92,26,),"")</f>
        <v>Death occurring within the first 30 days after cardiac surgery.</v>
      </c>
      <c r="AC47" s="111" t="str">
        <f>IF(HLOOKUP(AC$6,CHARMS!$A$6:$CQ$89,26,)&lt;&gt;0,HLOOKUP(AC$6,CHARMS!$A$6:$CQ$92,26,),"")</f>
        <v>Death occurring within the first 30 days after cardiac surgery.</v>
      </c>
      <c r="AD47" s="111" t="str">
        <f>IF(HLOOKUP(AD$6,CHARMS!$A$6:$CQ$89,26,)&lt;&gt;0,HLOOKUP(AD$6,CHARMS!$A$6:$CQ$92,26,),"")</f>
        <v>Death occurring within the first 30 days after cardiac surgery.</v>
      </c>
      <c r="AE47" s="111" t="str">
        <f>IF(HLOOKUP(AE$6,CHARMS!$A$6:$CQ$89,26,)&lt;&gt;0,HLOOKUP(AE$6,CHARMS!$A$6:$CQ$92,26,),"")</f>
        <v>Death occurring within the first 30 days after cardiac surgery.</v>
      </c>
    </row>
    <row r="48" spans="1:31" s="83" customFormat="1" ht="15" customHeight="1" x14ac:dyDescent="0.3">
      <c r="A48" s="110" t="s">
        <v>220</v>
      </c>
      <c r="B48" s="111" t="str">
        <f>IF(HLOOKUP(B$6,CHARMS!$A$6:$CQ$89,27,)&lt;&gt;0,HLOOKUP(B$6,CHARMS!$A$6:$CQ$89,27,),"")</f>
        <v>Yes</v>
      </c>
      <c r="C48" s="111" t="str">
        <f>IF(HLOOKUP(C$6,CHARMS!$A$6:$CQ$89,27,)&lt;&gt;0,HLOOKUP(C$6,CHARMS!$A$6:$CQ$89,27,),"")</f>
        <v>No information</v>
      </c>
      <c r="D48" s="111" t="str">
        <f>IF(HLOOKUP(D$6,CHARMS!$A$6:$CQ$89,27,)&lt;&gt;0,HLOOKUP(D$6,CHARMS!$A$6:$CQ$89,27,),"")</f>
        <v>No information</v>
      </c>
      <c r="E48" s="111" t="str">
        <f>IF(HLOOKUP(E$6,CHARMS!$A$6:$CQ$89,27,)&lt;&gt;0,HLOOKUP(E$6,CHARMS!$A$6:$CQ$89,27,),"")</f>
        <v>Yes</v>
      </c>
      <c r="F48" s="111" t="str">
        <f>IF(HLOOKUP(F$6,CHARMS!$A$6:$CQ$89,27,)&lt;&gt;0,HLOOKUP(F$6,CHARMS!$A$6:$CQ$89,27,),"")</f>
        <v>Yes</v>
      </c>
      <c r="G48" s="111" t="str">
        <f>IF(HLOOKUP(G$6,CHARMS!$A$6:$CQ$89,27,)&lt;&gt;0,HLOOKUP(G$6,CHARMS!$A$6:$CQ$89,27,),"")</f>
        <v>Yes</v>
      </c>
      <c r="H48" s="111" t="str">
        <f>IF(HLOOKUP(H$6,CHARMS!$A$6:$CQ$89,27,)&lt;&gt;0,HLOOKUP(H$6,CHARMS!$A$6:$CQ$89,27,),"")</f>
        <v>Yes</v>
      </c>
      <c r="I48" s="111" t="str">
        <f>IF(HLOOKUP(I$6,CHARMS!$A$6:$CQ$89,27,)&lt;&gt;0,HLOOKUP(I$6,CHARMS!$A$6:$CQ$89,27,),"")</f>
        <v>Yes</v>
      </c>
      <c r="J48" s="111" t="str">
        <f>IF(HLOOKUP(J$6,CHARMS!$A$6:$CQ$89,27,)&lt;&gt;0,HLOOKUP(J$6,CHARMS!$A$6:$CQ$89,27,),"")</f>
        <v>Yes</v>
      </c>
      <c r="K48" s="111" t="str">
        <f>IF(HLOOKUP(K$6,CHARMS!$A$6:$CQ$89,27,)&lt;&gt;0,HLOOKUP(K$6,CHARMS!$A$6:$CQ$89,27,),"")</f>
        <v>Yes</v>
      </c>
      <c r="L48" s="111" t="str">
        <f>IF(HLOOKUP(L$6,CHARMS!$A$6:$CQ$89,27,)&lt;&gt;0,HLOOKUP(L$6,CHARMS!$A$6:$CQ$89,27,),"")</f>
        <v>Yes</v>
      </c>
      <c r="M48" s="111" t="str">
        <f>IF(HLOOKUP(M$6,CHARMS!$A$6:$CQ$89,27,)&lt;&gt;0,HLOOKUP(M$6,CHARMS!$A$6:$CQ$89,27,),"")</f>
        <v>Yes</v>
      </c>
      <c r="N48" s="111" t="str">
        <f>IF(HLOOKUP(N$6,CHARMS!$A$6:$CQ$89,27,)&lt;&gt;0,HLOOKUP(N$6,CHARMS!$A$6:$CQ$89,27,),"")</f>
        <v>Yes</v>
      </c>
      <c r="O48" s="111" t="str">
        <f>IF(HLOOKUP(O$6,CHARMS!$A$6:$CQ$89,27,)&lt;&gt;0,HLOOKUP(O$6,CHARMS!$A$6:$CQ$89,27,),"")</f>
        <v>Yes</v>
      </c>
      <c r="P48" s="111" t="str">
        <f>IF(HLOOKUP(P$6,CHARMS!$A$6:$CQ$89,27,)&lt;&gt;0,HLOOKUP(P$6,CHARMS!$A$6:$CQ$89,27,),"")</f>
        <v>Yes</v>
      </c>
      <c r="Q48" s="111" t="str">
        <f>IF(HLOOKUP(Q$6,CHARMS!$A$6:$CQ$89,27,)&lt;&gt;0,HLOOKUP(Q$6,CHARMS!$A$6:$CQ$89,27,),"")</f>
        <v>Yes</v>
      </c>
      <c r="R48" s="111" t="str">
        <f>IF(HLOOKUP(R$6,CHARMS!$A$6:$CQ$89,27,)&lt;&gt;0,HLOOKUP(R$6,CHARMS!$A$6:$CQ$89,27,),"")</f>
        <v>Yes</v>
      </c>
      <c r="S48" s="111" t="str">
        <f>IF(HLOOKUP(S$6,CHARMS!$A$6:$CQ$89,27,)&lt;&gt;0,HLOOKUP(S$6,CHARMS!$A$6:$CQ$89,27,),"")</f>
        <v>Yes</v>
      </c>
      <c r="T48" s="111" t="str">
        <f>IF(HLOOKUP(T$6,CHARMS!$A$6:$CQ$89,27,)&lt;&gt;0,HLOOKUP(T$6,CHARMS!$A$6:$CQ$89,27,),"")</f>
        <v>Yes</v>
      </c>
      <c r="U48" s="111" t="str">
        <f>IF(HLOOKUP(U$6,CHARMS!$A$6:$CQ$89,27,)&lt;&gt;0,HLOOKUP(U$6,CHARMS!$A$6:$CQ$89,27,),"")</f>
        <v>Yes</v>
      </c>
      <c r="V48" s="111" t="str">
        <f>IF(HLOOKUP(V$6,CHARMS!$A$6:$CQ$89,27,)&lt;&gt;0,HLOOKUP(V$6,CHARMS!$A$6:$CQ$89,27,),"")</f>
        <v>Yes</v>
      </c>
      <c r="W48" s="111" t="str">
        <f>IF(HLOOKUP(W$6,CHARMS!$A$6:$CQ$89,27,)&lt;&gt;0,HLOOKUP(W$6,CHARMS!$A$6:$CQ$89,27,),"")</f>
        <v>Yes</v>
      </c>
      <c r="X48" s="111" t="str">
        <f>IF(HLOOKUP(X$6,CHARMS!$A$6:$CQ$89,27,)&lt;&gt;0,HLOOKUP(X$6,CHARMS!$A$6:$CQ$89,27,),"")</f>
        <v>Yes</v>
      </c>
      <c r="Y48" s="111" t="str">
        <f>IF(HLOOKUP(Y$6,CHARMS!$A$6:$CQ$89,27,)&lt;&gt;0,HLOOKUP(Y$6,CHARMS!$A$6:$CQ$89,27,),"")</f>
        <v>Yes</v>
      </c>
      <c r="Z48" s="111" t="str">
        <f>IF(HLOOKUP(Z$6,CHARMS!$A$6:$CQ$89,27,)&lt;&gt;0,HLOOKUP(Z$6,CHARMS!$A$6:$CQ$89,27,),"")</f>
        <v>Yes</v>
      </c>
      <c r="AA48" s="111" t="str">
        <f>IF(HLOOKUP(AA$6,CHARMS!$A$6:$CQ$89,27,)&lt;&gt;0,HLOOKUP(AA$6,CHARMS!$A$6:$CQ$89,27,),"")</f>
        <v>Yes</v>
      </c>
      <c r="AB48" s="111" t="str">
        <f>IF(HLOOKUP(AB$6,CHARMS!$A$6:$CQ$89,27,)&lt;&gt;0,HLOOKUP(AB$6,CHARMS!$A$6:$CQ$89,27,),"")</f>
        <v>Yes</v>
      </c>
      <c r="AC48" s="111" t="str">
        <f>IF(HLOOKUP(AC$6,CHARMS!$A$6:$CQ$89,27,)&lt;&gt;0,HLOOKUP(AC$6,CHARMS!$A$6:$CQ$89,27,),"")</f>
        <v>Yes</v>
      </c>
      <c r="AD48" s="111" t="str">
        <f>IF(HLOOKUP(AD$6,CHARMS!$A$6:$CQ$89,27,)&lt;&gt;0,HLOOKUP(AD$6,CHARMS!$A$6:$CQ$89,27,),"")</f>
        <v>Yes</v>
      </c>
      <c r="AE48" s="111" t="str">
        <f>IF(HLOOKUP(AE$6,CHARMS!$A$6:$CQ$89,27,)&lt;&gt;0,HLOOKUP(AE$6,CHARMS!$A$6:$CQ$89,27,),"")</f>
        <v>Yes</v>
      </c>
    </row>
    <row r="49" spans="1:31" s="83" customFormat="1" ht="15" customHeight="1" x14ac:dyDescent="0.3">
      <c r="A49" s="110" t="s">
        <v>221</v>
      </c>
      <c r="B49" s="111" t="str">
        <f>IF(HLOOKUP(B$6,CHARMS!$A$6:$CQ$89,29,)&lt;&gt;0,HLOOKUP(B$6,CHARMS!$A$6:$CQ$89,29,),"")</f>
        <v>No information</v>
      </c>
      <c r="C49" s="111" t="str">
        <f>IF(HLOOKUP(C$6,CHARMS!$A$6:$CQ$89,29,)&lt;&gt;0,HLOOKUP(C$6,CHARMS!$A$6:$CQ$89,29,),"")</f>
        <v>No information</v>
      </c>
      <c r="D49" s="111" t="str">
        <f>IF(HLOOKUP(D$6,CHARMS!$A$6:$CQ$89,29,)&lt;&gt;0,HLOOKUP(D$6,CHARMS!$A$6:$CQ$89,29,),"")</f>
        <v>No information</v>
      </c>
      <c r="E49" s="111" t="str">
        <f>IF(HLOOKUP(E$6,CHARMS!$A$6:$CQ$89,29,)&lt;&gt;0,HLOOKUP(E$6,CHARMS!$A$6:$CQ$89,29,),"")</f>
        <v>No information</v>
      </c>
      <c r="F49" s="111" t="str">
        <f>IF(HLOOKUP(F$6,CHARMS!$A$6:$CQ$89,29,)&lt;&gt;0,HLOOKUP(F$6,CHARMS!$A$6:$CQ$89,29,),"")</f>
        <v>No information</v>
      </c>
      <c r="G49" s="111" t="str">
        <f>IF(HLOOKUP(G$6,CHARMS!$A$6:$CQ$89,29,)&lt;&gt;0,HLOOKUP(G$6,CHARMS!$A$6:$CQ$89,29,),"")</f>
        <v>No information</v>
      </c>
      <c r="H49" s="111" t="str">
        <f>IF(HLOOKUP(H$6,CHARMS!$A$6:$CQ$89,29,)&lt;&gt;0,HLOOKUP(H$6,CHARMS!$A$6:$CQ$89,29,),"")</f>
        <v>No information</v>
      </c>
      <c r="I49" s="111" t="str">
        <f>IF(HLOOKUP(I$6,CHARMS!$A$6:$CQ$89,29,)&lt;&gt;0,HLOOKUP(I$6,CHARMS!$A$6:$CQ$89,29,),"")</f>
        <v>No information</v>
      </c>
      <c r="J49" s="111" t="str">
        <f>IF(HLOOKUP(J$6,CHARMS!$A$6:$CQ$89,29,)&lt;&gt;0,HLOOKUP(J$6,CHARMS!$A$6:$CQ$89,29,),"")</f>
        <v>No information</v>
      </c>
      <c r="K49" s="111" t="str">
        <f>IF(HLOOKUP(K$6,CHARMS!$A$6:$CQ$89,29,)&lt;&gt;0,HLOOKUP(K$6,CHARMS!$A$6:$CQ$89,29,),"")</f>
        <v>Unclear</v>
      </c>
      <c r="L49" s="111" t="str">
        <f>IF(HLOOKUP(L$6,CHARMS!$A$6:$CQ$89,29,)&lt;&gt;0,HLOOKUP(L$6,CHARMS!$A$6:$CQ$89,29,),"")</f>
        <v>Unclear</v>
      </c>
      <c r="M49" s="111" t="str">
        <f>IF(HLOOKUP(M$6,CHARMS!$A$6:$CQ$89,29,)&lt;&gt;0,HLOOKUP(M$6,CHARMS!$A$6:$CQ$89,29,),"")</f>
        <v>Unclear</v>
      </c>
      <c r="N49" s="111" t="str">
        <f>IF(HLOOKUP(N$6,CHARMS!$A$6:$CQ$89,29,)&lt;&gt;0,HLOOKUP(N$6,CHARMS!$A$6:$CQ$89,29,),"")</f>
        <v>Unclear</v>
      </c>
      <c r="O49" s="111" t="str">
        <f>IF(HLOOKUP(O$6,CHARMS!$A$6:$CQ$89,29,)&lt;&gt;0,HLOOKUP(O$6,CHARMS!$A$6:$CQ$89,29,),"")</f>
        <v>Unclear</v>
      </c>
      <c r="P49" s="111" t="str">
        <f>IF(HLOOKUP(P$6,CHARMS!$A$6:$CQ$89,29,)&lt;&gt;0,HLOOKUP(P$6,CHARMS!$A$6:$CQ$89,29,),"")</f>
        <v>Unclear</v>
      </c>
      <c r="Q49" s="111" t="str">
        <f>IF(HLOOKUP(Q$6,CHARMS!$A$6:$CQ$89,29,)&lt;&gt;0,HLOOKUP(Q$6,CHARMS!$A$6:$CQ$89,29,),"")</f>
        <v>Unclear</v>
      </c>
      <c r="R49" s="111" t="str">
        <f>IF(HLOOKUP(R$6,CHARMS!$A$6:$CQ$89,29,)&lt;&gt;0,HLOOKUP(R$6,CHARMS!$A$6:$CQ$89,29,),"")</f>
        <v>Unclear</v>
      </c>
      <c r="S49" s="111" t="str">
        <f>IF(HLOOKUP(S$6,CHARMS!$A$6:$CQ$89,29,)&lt;&gt;0,HLOOKUP(S$6,CHARMS!$A$6:$CQ$89,29,),"")</f>
        <v>Unclear</v>
      </c>
      <c r="T49" s="111" t="str">
        <f>IF(HLOOKUP(T$6,CHARMS!$A$6:$CQ$89,29,)&lt;&gt;0,HLOOKUP(T$6,CHARMS!$A$6:$CQ$89,29,),"")</f>
        <v>Unclear</v>
      </c>
      <c r="U49" s="111" t="str">
        <f>IF(HLOOKUP(U$6,CHARMS!$A$6:$CQ$89,29,)&lt;&gt;0,HLOOKUP(U$6,CHARMS!$A$6:$CQ$89,29,),"")</f>
        <v>Unclear</v>
      </c>
      <c r="V49" s="111" t="str">
        <f>IF(HLOOKUP(V$6,CHARMS!$A$6:$CQ$89,29,)&lt;&gt;0,HLOOKUP(V$6,CHARMS!$A$6:$CQ$89,29,),"")</f>
        <v>Unclear</v>
      </c>
      <c r="W49" s="111" t="str">
        <f>IF(HLOOKUP(W$6,CHARMS!$A$6:$CQ$89,29,)&lt;&gt;0,HLOOKUP(W$6,CHARMS!$A$6:$CQ$89,29,),"")</f>
        <v>Unclear</v>
      </c>
      <c r="X49" s="111" t="str">
        <f>IF(HLOOKUP(X$6,CHARMS!$A$6:$CQ$89,29,)&lt;&gt;0,HLOOKUP(X$6,CHARMS!$A$6:$CQ$89,29,),"")</f>
        <v>Unclear</v>
      </c>
      <c r="Y49" s="111" t="str">
        <f>IF(HLOOKUP(Y$6,CHARMS!$A$6:$CQ$89,29,)&lt;&gt;0,HLOOKUP(Y$6,CHARMS!$A$6:$CQ$89,29,),"")</f>
        <v>Unclear</v>
      </c>
      <c r="Z49" s="111" t="str">
        <f>IF(HLOOKUP(Z$6,CHARMS!$A$6:$CQ$89,29,)&lt;&gt;0,HLOOKUP(Z$6,CHARMS!$A$6:$CQ$89,29,),"")</f>
        <v>Unclear</v>
      </c>
      <c r="AA49" s="111" t="str">
        <f>IF(HLOOKUP(AA$6,CHARMS!$A$6:$CQ$89,29,)&lt;&gt;0,HLOOKUP(AA$6,CHARMS!$A$6:$CQ$89,29,),"")</f>
        <v>Unclear</v>
      </c>
      <c r="AB49" s="111" t="str">
        <f>IF(HLOOKUP(AB$6,CHARMS!$A$6:$CQ$89,29,)&lt;&gt;0,HLOOKUP(AB$6,CHARMS!$A$6:$CQ$89,29,),"")</f>
        <v>Unclear</v>
      </c>
      <c r="AC49" s="111" t="str">
        <f>IF(HLOOKUP(AC$6,CHARMS!$A$6:$CQ$89,29,)&lt;&gt;0,HLOOKUP(AC$6,CHARMS!$A$6:$CQ$89,29,),"")</f>
        <v>Unclear</v>
      </c>
      <c r="AD49" s="111" t="str">
        <f>IF(HLOOKUP(AD$6,CHARMS!$A$6:$CQ$89,29,)&lt;&gt;0,HLOOKUP(AD$6,CHARMS!$A$6:$CQ$89,29,),"")</f>
        <v>Unclear</v>
      </c>
      <c r="AE49" s="111" t="str">
        <f>IF(HLOOKUP(AE$6,CHARMS!$A$6:$CQ$89,29,)&lt;&gt;0,HLOOKUP(AE$6,CHARMS!$A$6:$CQ$89,29,),"")</f>
        <v>Unclear</v>
      </c>
    </row>
    <row r="50" spans="1:31" s="83" customFormat="1" ht="15" customHeight="1" x14ac:dyDescent="0.3">
      <c r="A50" s="110" t="s">
        <v>222</v>
      </c>
      <c r="B50" s="111" t="str">
        <f>IF(HLOOKUP(B$6,CHARMS!$A$6:$CQ$89,30,)&lt;&gt;0,HLOOKUP(B$6,CHARMS!$A$6:$CQ$89,30,),"")</f>
        <v>No information</v>
      </c>
      <c r="C50" s="111" t="str">
        <f>IF(HLOOKUP(C$6,CHARMS!$A$6:$CQ$89,30,)&lt;&gt;0,HLOOKUP(C$6,CHARMS!$A$6:$CQ$89,30,),"")</f>
        <v>No information</v>
      </c>
      <c r="D50" s="111" t="str">
        <f>IF(HLOOKUP(D$6,CHARMS!$A$6:$CQ$89,30,)&lt;&gt;0,HLOOKUP(D$6,CHARMS!$A$6:$CQ$89,30,),"")</f>
        <v>No information</v>
      </c>
      <c r="E50" s="111" t="str">
        <f>IF(HLOOKUP(E$6,CHARMS!$A$6:$CQ$89,30,)&lt;&gt;0,HLOOKUP(E$6,CHARMS!$A$6:$CQ$89,30,),"")</f>
        <v>No</v>
      </c>
      <c r="F50" s="111" t="str">
        <f>IF(HLOOKUP(F$6,CHARMS!$A$6:$CQ$89,30,)&lt;&gt;0,HLOOKUP(F$6,CHARMS!$A$6:$CQ$89,30,),"")</f>
        <v>No</v>
      </c>
      <c r="G50" s="111" t="str">
        <f>IF(HLOOKUP(G$6,CHARMS!$A$6:$CQ$89,30,)&lt;&gt;0,HLOOKUP(G$6,CHARMS!$A$6:$CQ$89,30,),"")</f>
        <v>No</v>
      </c>
      <c r="H50" s="111" t="str">
        <f>IF(HLOOKUP(H$6,CHARMS!$A$6:$CQ$89,30,)&lt;&gt;0,HLOOKUP(H$6,CHARMS!$A$6:$CQ$89,30,),"")</f>
        <v>No information</v>
      </c>
      <c r="I50" s="111" t="str">
        <f>IF(HLOOKUP(I$6,CHARMS!$A$6:$CQ$89,30,)&lt;&gt;0,HLOOKUP(I$6,CHARMS!$A$6:$CQ$89,30,),"")</f>
        <v>No information</v>
      </c>
      <c r="J50" s="111" t="str">
        <f>IF(HLOOKUP(J$6,CHARMS!$A$6:$CQ$89,30,)&lt;&gt;0,HLOOKUP(J$6,CHARMS!$A$6:$CQ$89,30,),"")</f>
        <v>No information</v>
      </c>
      <c r="K50" s="111" t="str">
        <f>IF(HLOOKUP(K$6,CHARMS!$A$6:$CQ$89,30,)&lt;&gt;0,HLOOKUP(K$6,CHARMS!$A$6:$CQ$89,30,),"")</f>
        <v>No</v>
      </c>
      <c r="L50" s="111" t="str">
        <f>IF(HLOOKUP(L$6,CHARMS!$A$6:$CQ$89,30,)&lt;&gt;0,HLOOKUP(L$6,CHARMS!$A$6:$CQ$89,30,),"")</f>
        <v>No</v>
      </c>
      <c r="M50" s="111" t="str">
        <f>IF(HLOOKUP(M$6,CHARMS!$A$6:$CQ$89,30,)&lt;&gt;0,HLOOKUP(M$6,CHARMS!$A$6:$CQ$89,30,),"")</f>
        <v>No</v>
      </c>
      <c r="N50" s="111" t="str">
        <f>IF(HLOOKUP(N$6,CHARMS!$A$6:$CQ$89,30,)&lt;&gt;0,HLOOKUP(N$6,CHARMS!$A$6:$CQ$89,30,),"")</f>
        <v>No</v>
      </c>
      <c r="O50" s="111" t="str">
        <f>IF(HLOOKUP(O$6,CHARMS!$A$6:$CQ$89,30,)&lt;&gt;0,HLOOKUP(O$6,CHARMS!$A$6:$CQ$89,30,),"")</f>
        <v>No</v>
      </c>
      <c r="P50" s="111" t="str">
        <f>IF(HLOOKUP(P$6,CHARMS!$A$6:$CQ$89,30,)&lt;&gt;0,HLOOKUP(P$6,CHARMS!$A$6:$CQ$89,30,),"")</f>
        <v>No</v>
      </c>
      <c r="Q50" s="111" t="str">
        <f>IF(HLOOKUP(Q$6,CHARMS!$A$6:$CQ$89,30,)&lt;&gt;0,HLOOKUP(Q$6,CHARMS!$A$6:$CQ$89,30,),"")</f>
        <v>No</v>
      </c>
      <c r="R50" s="111" t="str">
        <f>IF(HLOOKUP(R$6,CHARMS!$A$6:$CQ$89,30,)&lt;&gt;0,HLOOKUP(R$6,CHARMS!$A$6:$CQ$89,30,),"")</f>
        <v>No</v>
      </c>
      <c r="S50" s="111" t="str">
        <f>IF(HLOOKUP(S$6,CHARMS!$A$6:$CQ$89,30,)&lt;&gt;0,HLOOKUP(S$6,CHARMS!$A$6:$CQ$89,30,),"")</f>
        <v>No</v>
      </c>
      <c r="T50" s="111" t="str">
        <f>IF(HLOOKUP(T$6,CHARMS!$A$6:$CQ$89,30,)&lt;&gt;0,HLOOKUP(T$6,CHARMS!$A$6:$CQ$89,30,),"")</f>
        <v>No</v>
      </c>
      <c r="U50" s="111" t="str">
        <f>IF(HLOOKUP(U$6,CHARMS!$A$6:$CQ$89,30,)&lt;&gt;0,HLOOKUP(U$6,CHARMS!$A$6:$CQ$89,30,),"")</f>
        <v>No</v>
      </c>
      <c r="V50" s="111" t="str">
        <f>IF(HLOOKUP(V$6,CHARMS!$A$6:$CQ$89,30,)&lt;&gt;0,HLOOKUP(V$6,CHARMS!$A$6:$CQ$89,30,),"")</f>
        <v>No</v>
      </c>
      <c r="W50" s="111" t="str">
        <f>IF(HLOOKUP(W$6,CHARMS!$A$6:$CQ$89,30,)&lt;&gt;0,HLOOKUP(W$6,CHARMS!$A$6:$CQ$89,30,),"")</f>
        <v>No</v>
      </c>
      <c r="X50" s="111" t="str">
        <f>IF(HLOOKUP(X$6,CHARMS!$A$6:$CQ$89,30,)&lt;&gt;0,HLOOKUP(X$6,CHARMS!$A$6:$CQ$89,30,),"")</f>
        <v>No</v>
      </c>
      <c r="Y50" s="111" t="str">
        <f>IF(HLOOKUP(Y$6,CHARMS!$A$6:$CQ$89,30,)&lt;&gt;0,HLOOKUP(Y$6,CHARMS!$A$6:$CQ$89,30,),"")</f>
        <v>No</v>
      </c>
      <c r="Z50" s="111" t="str">
        <f>IF(HLOOKUP(Z$6,CHARMS!$A$6:$CQ$89,30,)&lt;&gt;0,HLOOKUP(Z$6,CHARMS!$A$6:$CQ$89,30,),"")</f>
        <v>No</v>
      </c>
      <c r="AA50" s="111" t="str">
        <f>IF(HLOOKUP(AA$6,CHARMS!$A$6:$CQ$89,30,)&lt;&gt;0,HLOOKUP(AA$6,CHARMS!$A$6:$CQ$89,30,),"")</f>
        <v>No</v>
      </c>
      <c r="AB50" s="111" t="str">
        <f>IF(HLOOKUP(AB$6,CHARMS!$A$6:$CQ$89,30,)&lt;&gt;0,HLOOKUP(AB$6,CHARMS!$A$6:$CQ$89,30,),"")</f>
        <v>No</v>
      </c>
      <c r="AC50" s="111" t="str">
        <f>IF(HLOOKUP(AC$6,CHARMS!$A$6:$CQ$89,30,)&lt;&gt;0,HLOOKUP(AC$6,CHARMS!$A$6:$CQ$89,30,),"")</f>
        <v>No</v>
      </c>
      <c r="AD50" s="111" t="str">
        <f>IF(HLOOKUP(AD$6,CHARMS!$A$6:$CQ$89,30,)&lt;&gt;0,HLOOKUP(AD$6,CHARMS!$A$6:$CQ$89,30,),"")</f>
        <v>No</v>
      </c>
      <c r="AE50" s="111" t="str">
        <f>IF(HLOOKUP(AE$6,CHARMS!$A$6:$CQ$89,30,)&lt;&gt;0,HLOOKUP(AE$6,CHARMS!$A$6:$CQ$89,30,),"")</f>
        <v>No</v>
      </c>
    </row>
    <row r="51" spans="1:31" s="83" customFormat="1" ht="15" customHeight="1" x14ac:dyDescent="0.3">
      <c r="A51" s="112" t="s">
        <v>223</v>
      </c>
      <c r="B51" s="113" t="str">
        <f>IF(HLOOKUP(B$6,CHARMS!$A$6:$CQ$89,31,)&lt;&gt;0,HLOOKUP(B$6,CHARMS!$A$6:$CQ$89,31,),"")</f>
        <v>In hospital</v>
      </c>
      <c r="C51" s="113" t="str">
        <f>IF(HLOOKUP(C$6,CHARMS!$A$6:$CQ$89,31,)&lt;&gt;0,HLOOKUP(C$6,CHARMS!$A$6:$CQ$89,31,),"")</f>
        <v>In hospital</v>
      </c>
      <c r="D51" s="113" t="str">
        <f>IF(HLOOKUP(D$6,CHARMS!$A$6:$CQ$89,31,)&lt;&gt;0,HLOOKUP(D$6,CHARMS!$A$6:$CQ$89,31,),"")</f>
        <v>In hospital</v>
      </c>
      <c r="E51" s="113" t="str">
        <f>IF(HLOOKUP(E$6,CHARMS!$A$6:$CQ$89,31,)&lt;&gt;0,HLOOKUP(E$6,CHARMS!$A$6:$CQ$89,31,),"")</f>
        <v>In hospital</v>
      </c>
      <c r="F51" s="113" t="str">
        <f>IF(HLOOKUP(F$6,CHARMS!$A$6:$CQ$89,31,)&lt;&gt;0,HLOOKUP(F$6,CHARMS!$A$6:$CQ$89,31,),"")</f>
        <v>In hospital</v>
      </c>
      <c r="G51" s="113" t="str">
        <f>IF(HLOOKUP(G$6,CHARMS!$A$6:$CQ$89,31,)&lt;&gt;0,HLOOKUP(G$6,CHARMS!$A$6:$CQ$89,31,),"")</f>
        <v>In hospital</v>
      </c>
      <c r="H51" s="113" t="str">
        <f>IF(HLOOKUP(H$6,CHARMS!$A$6:$CQ$89,31,)&lt;&gt;0,HLOOKUP(H$6,CHARMS!$A$6:$CQ$89,31,),"")</f>
        <v>In hospital</v>
      </c>
      <c r="I51" s="113" t="str">
        <f>IF(HLOOKUP(I$6,CHARMS!$A$6:$CQ$89,31,)&lt;&gt;0,HLOOKUP(I$6,CHARMS!$A$6:$CQ$89,31,),"")</f>
        <v>In hospital</v>
      </c>
      <c r="J51" s="113" t="str">
        <f>IF(HLOOKUP(J$6,CHARMS!$A$6:$CQ$89,31,)&lt;&gt;0,HLOOKUP(J$6,CHARMS!$A$6:$CQ$89,31,),"")</f>
        <v>In hospital</v>
      </c>
      <c r="K51" s="113" t="str">
        <f>IF(HLOOKUP(K$6,CHARMS!$A$6:$CQ$89,31,)&lt;&gt;0,HLOOKUP(K$6,CHARMS!$A$6:$CQ$89,31,),"")</f>
        <v>30 days</v>
      </c>
      <c r="L51" s="113" t="str">
        <f>IF(HLOOKUP(L$6,CHARMS!$A$6:$CQ$89,31,)&lt;&gt;0,HLOOKUP(L$6,CHARMS!$A$6:$CQ$89,31,),"")</f>
        <v>30 days</v>
      </c>
      <c r="M51" s="113" t="str">
        <f>IF(HLOOKUP(M$6,CHARMS!$A$6:$CQ$89,31,)&lt;&gt;0,HLOOKUP(M$6,CHARMS!$A$6:$CQ$89,31,),"")</f>
        <v>30 days</v>
      </c>
      <c r="N51" s="113" t="str">
        <f>IF(HLOOKUP(N$6,CHARMS!$A$6:$CQ$89,31,)&lt;&gt;0,HLOOKUP(N$6,CHARMS!$A$6:$CQ$89,31,),"")</f>
        <v>30 days</v>
      </c>
      <c r="O51" s="113" t="str">
        <f>IF(HLOOKUP(O$6,CHARMS!$A$6:$CQ$89,31,)&lt;&gt;0,HLOOKUP(O$6,CHARMS!$A$6:$CQ$89,31,),"")</f>
        <v>30 days</v>
      </c>
      <c r="P51" s="113" t="str">
        <f>IF(HLOOKUP(P$6,CHARMS!$A$6:$CQ$89,31,)&lt;&gt;0,HLOOKUP(P$6,CHARMS!$A$6:$CQ$89,31,),"")</f>
        <v>30 days</v>
      </c>
      <c r="Q51" s="113" t="str">
        <f>IF(HLOOKUP(Q$6,CHARMS!$A$6:$CQ$89,31,)&lt;&gt;0,HLOOKUP(Q$6,CHARMS!$A$6:$CQ$89,31,),"")</f>
        <v>30 days</v>
      </c>
      <c r="R51" s="113" t="str">
        <f>IF(HLOOKUP(R$6,CHARMS!$A$6:$CQ$89,31,)&lt;&gt;0,HLOOKUP(R$6,CHARMS!$A$6:$CQ$89,31,),"")</f>
        <v>30 days</v>
      </c>
      <c r="S51" s="113" t="str">
        <f>IF(HLOOKUP(S$6,CHARMS!$A$6:$CQ$89,31,)&lt;&gt;0,HLOOKUP(S$6,CHARMS!$A$6:$CQ$89,31,),"")</f>
        <v>30 days</v>
      </c>
      <c r="T51" s="113" t="str">
        <f>IF(HLOOKUP(T$6,CHARMS!$A$6:$CQ$89,31,)&lt;&gt;0,HLOOKUP(T$6,CHARMS!$A$6:$CQ$89,31,),"")</f>
        <v>30 days</v>
      </c>
      <c r="U51" s="113" t="str">
        <f>IF(HLOOKUP(U$6,CHARMS!$A$6:$CQ$89,31,)&lt;&gt;0,HLOOKUP(U$6,CHARMS!$A$6:$CQ$89,31,),"")</f>
        <v>30 days</v>
      </c>
      <c r="V51" s="113" t="str">
        <f>IF(HLOOKUP(V$6,CHARMS!$A$6:$CQ$89,31,)&lt;&gt;0,HLOOKUP(V$6,CHARMS!$A$6:$CQ$89,31,),"")</f>
        <v>30 days</v>
      </c>
      <c r="W51" s="113" t="str">
        <f>IF(HLOOKUP(W$6,CHARMS!$A$6:$CQ$89,31,)&lt;&gt;0,HLOOKUP(W$6,CHARMS!$A$6:$CQ$89,31,),"")</f>
        <v>30 days</v>
      </c>
      <c r="X51" s="113" t="str">
        <f>IF(HLOOKUP(X$6,CHARMS!$A$6:$CQ$89,31,)&lt;&gt;0,HLOOKUP(X$6,CHARMS!$A$6:$CQ$89,31,),"")</f>
        <v>30 days</v>
      </c>
      <c r="Y51" s="113" t="str">
        <f>IF(HLOOKUP(Y$6,CHARMS!$A$6:$CQ$89,31,)&lt;&gt;0,HLOOKUP(Y$6,CHARMS!$A$6:$CQ$89,31,),"")</f>
        <v>30 days</v>
      </c>
      <c r="Z51" s="113" t="str">
        <f>IF(HLOOKUP(Z$6,CHARMS!$A$6:$CQ$89,31,)&lt;&gt;0,HLOOKUP(Z$6,CHARMS!$A$6:$CQ$89,31,),"")</f>
        <v>30 days</v>
      </c>
      <c r="AA51" s="113" t="str">
        <f>IF(HLOOKUP(AA$6,CHARMS!$A$6:$CQ$89,31,)&lt;&gt;0,HLOOKUP(AA$6,CHARMS!$A$6:$CQ$89,31,),"")</f>
        <v>30 days</v>
      </c>
      <c r="AB51" s="113" t="str">
        <f>IF(HLOOKUP(AB$6,CHARMS!$A$6:$CQ$89,31,)&lt;&gt;0,HLOOKUP(AB$6,CHARMS!$A$6:$CQ$89,31,),"")</f>
        <v>30 days</v>
      </c>
      <c r="AC51" s="113" t="str">
        <f>IF(HLOOKUP(AC$6,CHARMS!$A$6:$CQ$89,31,)&lt;&gt;0,HLOOKUP(AC$6,CHARMS!$A$6:$CQ$89,31,),"")</f>
        <v>30 days</v>
      </c>
      <c r="AD51" s="113" t="str">
        <f>IF(HLOOKUP(AD$6,CHARMS!$A$6:$CQ$89,31,)&lt;&gt;0,HLOOKUP(AD$6,CHARMS!$A$6:$CQ$89,31,),"")</f>
        <v>30 days</v>
      </c>
      <c r="AE51" s="113" t="str">
        <f>IF(HLOOKUP(AE$6,CHARMS!$A$6:$CQ$89,31,)&lt;&gt;0,HLOOKUP(AE$6,CHARMS!$A$6:$CQ$89,31,),"")</f>
        <v>30 days</v>
      </c>
    </row>
    <row r="52" spans="1:31" s="83" customFormat="1" ht="75" customHeight="1" x14ac:dyDescent="0.3">
      <c r="A52" s="114" t="s">
        <v>200</v>
      </c>
      <c r="B52" s="29" t="s">
        <v>50</v>
      </c>
      <c r="C52" s="29" t="s">
        <v>50</v>
      </c>
      <c r="D52" s="29" t="s">
        <v>50</v>
      </c>
      <c r="E52" s="29" t="s">
        <v>437</v>
      </c>
      <c r="F52" s="29" t="s">
        <v>437</v>
      </c>
      <c r="G52" s="29" t="s">
        <v>437</v>
      </c>
      <c r="H52" s="29" t="s">
        <v>437</v>
      </c>
      <c r="I52" s="29" t="s">
        <v>437</v>
      </c>
      <c r="J52" s="29" t="s">
        <v>437</v>
      </c>
      <c r="K52" s="29"/>
      <c r="L52" s="29"/>
      <c r="M52" s="29"/>
      <c r="N52" s="29"/>
      <c r="O52" s="29"/>
      <c r="P52" s="29"/>
      <c r="Q52" s="29"/>
      <c r="R52" s="29"/>
      <c r="S52" s="29"/>
      <c r="T52" s="29"/>
      <c r="U52" s="29"/>
      <c r="V52" s="29"/>
      <c r="W52" s="29"/>
      <c r="X52" s="29"/>
      <c r="Y52" s="29"/>
      <c r="Z52" s="29"/>
      <c r="AA52" s="29"/>
      <c r="AB52" s="29"/>
      <c r="AC52" s="29"/>
      <c r="AD52" s="29"/>
      <c r="AE52" s="29"/>
    </row>
    <row r="53" spans="1:31" ht="18.75" customHeight="1" x14ac:dyDescent="0.3">
      <c r="A53" s="94" t="s">
        <v>224</v>
      </c>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row>
    <row r="54" spans="1:31" s="104" customFormat="1" ht="15" customHeight="1" x14ac:dyDescent="0.3">
      <c r="A54" s="103" t="s">
        <v>225</v>
      </c>
      <c r="B54" s="27" t="s">
        <v>186</v>
      </c>
      <c r="C54" s="27" t="s">
        <v>185</v>
      </c>
      <c r="D54" s="27" t="s">
        <v>185</v>
      </c>
      <c r="E54" s="27" t="s">
        <v>83</v>
      </c>
      <c r="F54" s="27" t="s">
        <v>185</v>
      </c>
      <c r="G54" s="27" t="s">
        <v>183</v>
      </c>
      <c r="H54" s="27" t="s">
        <v>185</v>
      </c>
      <c r="I54" s="27" t="s">
        <v>88</v>
      </c>
      <c r="J54" s="27" t="s">
        <v>183</v>
      </c>
      <c r="K54" s="27" t="s">
        <v>185</v>
      </c>
      <c r="L54" s="27" t="s">
        <v>185</v>
      </c>
      <c r="M54" s="27"/>
      <c r="N54" s="27"/>
      <c r="O54" s="27"/>
      <c r="P54" s="27"/>
      <c r="Q54" s="27"/>
      <c r="R54" s="27"/>
      <c r="S54" s="27"/>
      <c r="T54" s="27"/>
      <c r="U54" s="27"/>
      <c r="V54" s="27"/>
      <c r="W54" s="27"/>
      <c r="X54" s="27"/>
      <c r="Y54" s="27"/>
      <c r="Z54" s="27"/>
      <c r="AA54" s="27"/>
      <c r="AB54" s="27"/>
      <c r="AC54" s="27"/>
      <c r="AD54" s="27"/>
      <c r="AE54" s="27"/>
    </row>
    <row r="55" spans="1:31" s="104" customFormat="1" ht="15" customHeight="1" x14ac:dyDescent="0.3">
      <c r="A55" s="115" t="s">
        <v>226</v>
      </c>
      <c r="B55" s="30" t="s">
        <v>186</v>
      </c>
      <c r="C55" s="30" t="s">
        <v>186</v>
      </c>
      <c r="D55" s="30" t="s">
        <v>186</v>
      </c>
      <c r="E55" s="30" t="s">
        <v>83</v>
      </c>
      <c r="F55" s="30" t="s">
        <v>183</v>
      </c>
      <c r="G55" s="30" t="s">
        <v>83</v>
      </c>
      <c r="H55" s="30" t="s">
        <v>186</v>
      </c>
      <c r="I55" s="30" t="s">
        <v>183</v>
      </c>
      <c r="J55" s="30" t="s">
        <v>186</v>
      </c>
      <c r="K55" s="30" t="s">
        <v>183</v>
      </c>
      <c r="L55" s="30" t="s">
        <v>183</v>
      </c>
      <c r="M55" s="30"/>
      <c r="N55" s="30"/>
      <c r="O55" s="30"/>
      <c r="P55" s="30"/>
      <c r="Q55" s="30"/>
      <c r="R55" s="30"/>
      <c r="S55" s="30"/>
      <c r="T55" s="30"/>
      <c r="U55" s="30"/>
      <c r="V55" s="30"/>
      <c r="W55" s="30"/>
      <c r="X55" s="30"/>
      <c r="Y55" s="30"/>
      <c r="Z55" s="30"/>
      <c r="AA55" s="30"/>
      <c r="AB55" s="30"/>
      <c r="AC55" s="30"/>
      <c r="AD55" s="30"/>
      <c r="AE55" s="30"/>
    </row>
    <row r="56" spans="1:31" s="104" customFormat="1" ht="15" customHeight="1" x14ac:dyDescent="0.3">
      <c r="A56" s="115" t="s">
        <v>227</v>
      </c>
      <c r="B56" s="30" t="s">
        <v>186</v>
      </c>
      <c r="C56" s="30" t="s">
        <v>186</v>
      </c>
      <c r="D56" s="30" t="s">
        <v>186</v>
      </c>
      <c r="E56" s="30" t="s">
        <v>83</v>
      </c>
      <c r="F56" s="30" t="s">
        <v>88</v>
      </c>
      <c r="G56" s="30" t="s">
        <v>185</v>
      </c>
      <c r="H56" s="30" t="s">
        <v>88</v>
      </c>
      <c r="I56" s="30" t="s">
        <v>183</v>
      </c>
      <c r="J56" s="30" t="s">
        <v>183</v>
      </c>
      <c r="K56" s="30" t="s">
        <v>185</v>
      </c>
      <c r="L56" s="30" t="s">
        <v>185</v>
      </c>
      <c r="M56" s="30"/>
      <c r="N56" s="30"/>
      <c r="O56" s="30"/>
      <c r="P56" s="30"/>
      <c r="Q56" s="30"/>
      <c r="R56" s="30"/>
      <c r="S56" s="30"/>
      <c r="T56" s="30"/>
      <c r="U56" s="30"/>
      <c r="V56" s="30"/>
      <c r="W56" s="30"/>
      <c r="X56" s="30"/>
      <c r="Y56" s="30"/>
      <c r="Z56" s="30"/>
      <c r="AA56" s="30"/>
      <c r="AB56" s="30"/>
      <c r="AC56" s="30"/>
      <c r="AD56" s="30"/>
      <c r="AE56" s="30"/>
    </row>
    <row r="57" spans="1:31" s="104" customFormat="1" ht="15" customHeight="1" x14ac:dyDescent="0.3">
      <c r="A57" s="115" t="s">
        <v>228</v>
      </c>
      <c r="B57" s="30" t="s">
        <v>186</v>
      </c>
      <c r="C57" s="30" t="s">
        <v>186</v>
      </c>
      <c r="D57" s="30" t="s">
        <v>186</v>
      </c>
      <c r="E57" s="30" t="s">
        <v>88</v>
      </c>
      <c r="F57" s="30" t="s">
        <v>185</v>
      </c>
      <c r="G57" s="30" t="s">
        <v>183</v>
      </c>
      <c r="H57" s="30" t="s">
        <v>88</v>
      </c>
      <c r="I57" s="30" t="s">
        <v>186</v>
      </c>
      <c r="J57" s="30" t="s">
        <v>183</v>
      </c>
      <c r="K57" s="30" t="s">
        <v>186</v>
      </c>
      <c r="L57" s="30" t="s">
        <v>186</v>
      </c>
      <c r="M57" s="30"/>
      <c r="N57" s="30"/>
      <c r="O57" s="30"/>
      <c r="P57" s="30"/>
      <c r="Q57" s="30"/>
      <c r="R57" s="30"/>
      <c r="S57" s="30"/>
      <c r="T57" s="30"/>
      <c r="U57" s="30"/>
      <c r="V57" s="30"/>
      <c r="W57" s="30"/>
      <c r="X57" s="30"/>
      <c r="Y57" s="30"/>
      <c r="Z57" s="30"/>
      <c r="AA57" s="30"/>
      <c r="AB57" s="30"/>
      <c r="AC57" s="30"/>
      <c r="AD57" s="30"/>
      <c r="AE57" s="30"/>
    </row>
    <row r="58" spans="1:31" s="104" customFormat="1" ht="15" customHeight="1" x14ac:dyDescent="0.3">
      <c r="A58" s="115" t="s">
        <v>229</v>
      </c>
      <c r="B58" s="30" t="s">
        <v>186</v>
      </c>
      <c r="C58" s="30" t="s">
        <v>186</v>
      </c>
      <c r="D58" s="30" t="s">
        <v>186</v>
      </c>
      <c r="E58" s="30" t="s">
        <v>183</v>
      </c>
      <c r="F58" s="30" t="s">
        <v>183</v>
      </c>
      <c r="G58" s="30" t="s">
        <v>83</v>
      </c>
      <c r="H58" s="30" t="s">
        <v>83</v>
      </c>
      <c r="I58" s="30" t="s">
        <v>183</v>
      </c>
      <c r="J58" s="30" t="s">
        <v>186</v>
      </c>
      <c r="K58" s="30" t="s">
        <v>83</v>
      </c>
      <c r="L58" s="30" t="s">
        <v>83</v>
      </c>
      <c r="M58" s="30"/>
      <c r="N58" s="30"/>
      <c r="O58" s="30"/>
      <c r="P58" s="30"/>
      <c r="Q58" s="30"/>
      <c r="R58" s="30"/>
      <c r="S58" s="30"/>
      <c r="T58" s="30"/>
      <c r="U58" s="30"/>
      <c r="V58" s="30"/>
      <c r="W58" s="30"/>
      <c r="X58" s="30"/>
      <c r="Y58" s="30"/>
      <c r="Z58" s="30"/>
      <c r="AA58" s="30"/>
      <c r="AB58" s="30"/>
      <c r="AC58" s="30"/>
      <c r="AD58" s="30"/>
      <c r="AE58" s="30"/>
    </row>
    <row r="59" spans="1:31" s="104" customFormat="1" ht="15" customHeight="1" x14ac:dyDescent="0.3">
      <c r="A59" s="115" t="s">
        <v>230</v>
      </c>
      <c r="B59" s="30" t="s">
        <v>186</v>
      </c>
      <c r="C59" s="30" t="s">
        <v>186</v>
      </c>
      <c r="D59" s="30" t="s">
        <v>186</v>
      </c>
      <c r="E59" s="30" t="s">
        <v>83</v>
      </c>
      <c r="F59" s="30" t="s">
        <v>83</v>
      </c>
      <c r="G59" s="30" t="s">
        <v>83</v>
      </c>
      <c r="H59" s="30" t="s">
        <v>83</v>
      </c>
      <c r="I59" s="30" t="s">
        <v>83</v>
      </c>
      <c r="J59" s="30" t="s">
        <v>83</v>
      </c>
      <c r="K59" s="30" t="s">
        <v>83</v>
      </c>
      <c r="L59" s="30" t="s">
        <v>83</v>
      </c>
      <c r="M59" s="30"/>
      <c r="N59" s="30"/>
      <c r="O59" s="30"/>
      <c r="P59" s="30"/>
      <c r="Q59" s="30"/>
      <c r="R59" s="30"/>
      <c r="S59" s="30"/>
      <c r="T59" s="30"/>
      <c r="U59" s="30"/>
      <c r="V59" s="30"/>
      <c r="W59" s="30"/>
      <c r="X59" s="30"/>
      <c r="Y59" s="30"/>
      <c r="Z59" s="30"/>
      <c r="AA59" s="30"/>
      <c r="AB59" s="30"/>
      <c r="AC59" s="30"/>
      <c r="AD59" s="30"/>
      <c r="AE59" s="30"/>
    </row>
    <row r="60" spans="1:31" s="104" customFormat="1" ht="15" customHeight="1" x14ac:dyDescent="0.3">
      <c r="A60" s="115" t="s">
        <v>231</v>
      </c>
      <c r="B60" s="30" t="s">
        <v>183</v>
      </c>
      <c r="C60" s="30" t="s">
        <v>183</v>
      </c>
      <c r="D60" s="30" t="s">
        <v>183</v>
      </c>
      <c r="E60" s="30" t="s">
        <v>83</v>
      </c>
      <c r="F60" s="30" t="s">
        <v>83</v>
      </c>
      <c r="G60" s="30" t="s">
        <v>83</v>
      </c>
      <c r="H60" s="30" t="s">
        <v>185</v>
      </c>
      <c r="I60" s="30" t="s">
        <v>83</v>
      </c>
      <c r="J60" s="30" t="s">
        <v>83</v>
      </c>
      <c r="K60" s="30" t="s">
        <v>83</v>
      </c>
      <c r="L60" s="30" t="s">
        <v>83</v>
      </c>
      <c r="M60" s="30"/>
      <c r="N60" s="30"/>
      <c r="O60" s="30"/>
      <c r="P60" s="30"/>
      <c r="Q60" s="30"/>
      <c r="R60" s="30"/>
      <c r="S60" s="30"/>
      <c r="T60" s="30"/>
      <c r="U60" s="30"/>
      <c r="V60" s="30"/>
      <c r="W60" s="30"/>
      <c r="X60" s="30"/>
      <c r="Y60" s="30"/>
      <c r="Z60" s="30"/>
      <c r="AA60" s="30"/>
      <c r="AB60" s="30"/>
      <c r="AC60" s="30"/>
      <c r="AD60" s="30"/>
      <c r="AE60" s="30"/>
    </row>
    <row r="61" spans="1:31" s="104" customFormat="1" ht="15" customHeight="1" x14ac:dyDescent="0.3">
      <c r="A61" s="115" t="s">
        <v>232</v>
      </c>
      <c r="B61" s="30" t="s">
        <v>185</v>
      </c>
      <c r="C61" s="30" t="s">
        <v>185</v>
      </c>
      <c r="D61" s="30" t="s">
        <v>185</v>
      </c>
      <c r="E61" s="30" t="s">
        <v>83</v>
      </c>
      <c r="F61" s="30" t="s">
        <v>88</v>
      </c>
      <c r="G61" s="30" t="s">
        <v>88</v>
      </c>
      <c r="H61" s="30" t="s">
        <v>88</v>
      </c>
      <c r="I61" s="30" t="s">
        <v>185</v>
      </c>
      <c r="J61" s="30" t="s">
        <v>183</v>
      </c>
      <c r="K61" s="30" t="s">
        <v>83</v>
      </c>
      <c r="L61" s="30" t="s">
        <v>83</v>
      </c>
      <c r="M61" s="30"/>
      <c r="N61" s="30"/>
      <c r="O61" s="30"/>
      <c r="P61" s="30"/>
      <c r="Q61" s="30"/>
      <c r="R61" s="30"/>
      <c r="S61" s="30"/>
      <c r="T61" s="30"/>
      <c r="U61" s="30"/>
      <c r="V61" s="30"/>
      <c r="W61" s="30"/>
      <c r="X61" s="30"/>
      <c r="Y61" s="30"/>
      <c r="Z61" s="30"/>
      <c r="AA61" s="30"/>
      <c r="AB61" s="30"/>
      <c r="AC61" s="30"/>
      <c r="AD61" s="30"/>
      <c r="AE61" s="30"/>
    </row>
    <row r="62" spans="1:31" s="104" customFormat="1" ht="30" customHeight="1" x14ac:dyDescent="0.3">
      <c r="A62" s="116" t="s">
        <v>233</v>
      </c>
      <c r="B62" s="28" t="s">
        <v>186</v>
      </c>
      <c r="C62" s="28" t="s">
        <v>186</v>
      </c>
      <c r="D62" s="28" t="s">
        <v>186</v>
      </c>
      <c r="E62" s="28" t="s">
        <v>186</v>
      </c>
      <c r="F62" s="28" t="s">
        <v>186</v>
      </c>
      <c r="G62" s="28" t="s">
        <v>186</v>
      </c>
      <c r="H62" s="28" t="s">
        <v>186</v>
      </c>
      <c r="I62" s="28" t="s">
        <v>186</v>
      </c>
      <c r="J62" s="28" t="s">
        <v>186</v>
      </c>
      <c r="K62" s="28" t="s">
        <v>83</v>
      </c>
      <c r="L62" s="28" t="s">
        <v>83</v>
      </c>
      <c r="M62" s="28"/>
      <c r="N62" s="28"/>
      <c r="O62" s="28"/>
      <c r="P62" s="28"/>
      <c r="Q62" s="28"/>
      <c r="R62" s="28"/>
      <c r="S62" s="28"/>
      <c r="T62" s="28"/>
      <c r="U62" s="28"/>
      <c r="V62" s="28"/>
      <c r="W62" s="28"/>
      <c r="X62" s="28"/>
      <c r="Y62" s="28"/>
      <c r="Z62" s="28"/>
      <c r="AA62" s="28"/>
      <c r="AB62" s="28"/>
      <c r="AC62" s="28"/>
      <c r="AD62" s="28"/>
      <c r="AE62" s="28"/>
    </row>
    <row r="63" spans="1:31" s="83" customFormat="1" ht="18.75" customHeight="1" x14ac:dyDescent="0.3">
      <c r="A63" s="117" t="s">
        <v>234</v>
      </c>
      <c r="B63" s="32" t="s">
        <v>188</v>
      </c>
      <c r="C63" s="32" t="s">
        <v>188</v>
      </c>
      <c r="D63" s="32" t="s">
        <v>188</v>
      </c>
      <c r="E63" s="32" t="s">
        <v>188</v>
      </c>
      <c r="F63" s="32" t="s">
        <v>188</v>
      </c>
      <c r="G63" s="32" t="s">
        <v>188</v>
      </c>
      <c r="H63" s="32" t="s">
        <v>188</v>
      </c>
      <c r="I63" s="32" t="s">
        <v>188</v>
      </c>
      <c r="J63" s="32" t="s">
        <v>58</v>
      </c>
      <c r="K63" s="32" t="s">
        <v>189</v>
      </c>
      <c r="L63" s="32" t="s">
        <v>189</v>
      </c>
      <c r="M63" s="32"/>
      <c r="N63" s="32"/>
      <c r="O63" s="32"/>
      <c r="P63" s="32"/>
      <c r="Q63" s="32"/>
      <c r="R63" s="32"/>
      <c r="S63" s="32"/>
      <c r="T63" s="32"/>
      <c r="U63" s="32"/>
      <c r="V63" s="32"/>
      <c r="W63" s="32"/>
      <c r="X63" s="32"/>
      <c r="Y63" s="32"/>
      <c r="Z63" s="32"/>
      <c r="AA63" s="32"/>
      <c r="AB63" s="32"/>
      <c r="AC63" s="32"/>
      <c r="AD63" s="32"/>
      <c r="AE63" s="32"/>
    </row>
    <row r="64" spans="1:31" s="83" customFormat="1" ht="15" customHeight="1" x14ac:dyDescent="0.3">
      <c r="A64" s="118" t="s">
        <v>193</v>
      </c>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row>
    <row r="65" spans="1:31" s="83" customFormat="1" ht="15" customHeight="1" x14ac:dyDescent="0.3">
      <c r="A65" s="110" t="s">
        <v>235</v>
      </c>
      <c r="B65" s="111" t="str">
        <f>IF(HLOOKUP(B$6,CHARMS!$A$6:$CQ$89,41,)&lt;&gt;0,CONCATENATE(HLOOKUP(B$6,CHARMS!$A$6:$CQ$89,41,)," from ",HLOOKUP(B$6,CHARMS!$A$6:$CQ$89,40,)," (",FIXED((HLOOKUP(B$6,CHARMS!$A$6:$CQ$89,41,)/HLOOKUP(B$6,CHARMS!$A$6:$CQ$89,40,))*100,1),"%)"),"")</f>
        <v>116 from 2038 (5.7%)</v>
      </c>
      <c r="C65" s="111" t="str">
        <f>IF(HLOOKUP(C$6,CHARMS!$A$6:$CQ$89,41,)&lt;&gt;0,CONCATENATE(HLOOKUP(C$6,CHARMS!$A$6:$CQ$89,41,)," from ",HLOOKUP(C$6,CHARMS!$A$6:$CQ$89,40,)," (",FIXED((HLOOKUP(C$6,CHARMS!$A$6:$CQ$89,41,)/HLOOKUP(C$6,CHARMS!$A$6:$CQ$89,40,))*100,1),"%)"),"")</f>
        <v>665 from 71963 (0.9%)</v>
      </c>
      <c r="D65" s="111" t="str">
        <f>IF(HLOOKUP(D$6,CHARMS!$A$6:$CQ$89,41,)&lt;&gt;0,CONCATENATE(HLOOKUP(D$6,CHARMS!$A$6:$CQ$89,41,)," from ",HLOOKUP(D$6,CHARMS!$A$6:$CQ$89,40,)," (",FIXED((HLOOKUP(D$6,CHARMS!$A$6:$CQ$89,41,)/HLOOKUP(D$6,CHARMS!$A$6:$CQ$89,40,))*100,1),"%)"),"")</f>
        <v>631 from 71963 (0.9%)</v>
      </c>
      <c r="E65" s="111" t="str">
        <f>IF(HLOOKUP(E$6,CHARMS!$A$6:$CQ$89,41,)&lt;&gt;0,CONCATENATE(HLOOKUP(E$6,CHARMS!$A$6:$CQ$89,41,)," from ",HLOOKUP(E$6,CHARMS!$A$6:$CQ$89,40,)," (",FIXED((HLOOKUP(E$6,CHARMS!$A$6:$CQ$89,41,)/HLOOKUP(E$6,CHARMS!$A$6:$CQ$89,40,))*100,1),"%)"),"")</f>
        <v>149724 from 3316465 (4.5%)</v>
      </c>
      <c r="F65" s="111" t="str">
        <f>IF(HLOOKUP(F$6,CHARMS!$A$6:$CQ$89,41,)&lt;&gt;0,CONCATENATE(HLOOKUP(F$6,CHARMS!$A$6:$CQ$89,41,)," from ",HLOOKUP(F$6,CHARMS!$A$6:$CQ$89,40,)," (",FIXED((HLOOKUP(F$6,CHARMS!$A$6:$CQ$89,41,)/HLOOKUP(F$6,CHARMS!$A$6:$CQ$89,40,))*100,1),"%)"),"")</f>
        <v>1016 from 28005 (3.6%)</v>
      </c>
      <c r="G65" s="111" t="str">
        <f>IF(HLOOKUP(G$6,CHARMS!$A$6:$CQ$89,41,)&lt;&gt;0,CONCATENATE(HLOOKUP(G$6,CHARMS!$A$6:$CQ$89,41,)," from ",HLOOKUP(G$6,CHARMS!$A$6:$CQ$89,40,)," (",FIXED((HLOOKUP(G$6,CHARMS!$A$6:$CQ$89,41,)/HLOOKUP(G$6,CHARMS!$A$6:$CQ$89,40,))*100,1),"%)"),"")</f>
        <v>1784 from 16484 (10.8%)</v>
      </c>
      <c r="H65" s="111" t="str">
        <f>IF(HLOOKUP(H$6,CHARMS!$A$6:$CQ$89,41,)&lt;&gt;0,CONCATENATE(HLOOKUP(H$6,CHARMS!$A$6:$CQ$89,41,)," from ",HLOOKUP(H$6,CHARMS!$A$6:$CQ$89,40,)," (",FIXED((HLOOKUP(H$6,CHARMS!$A$6:$CQ$89,41,)/HLOOKUP(H$6,CHARMS!$A$6:$CQ$89,40,))*100,1),"%)"),"")</f>
        <v>281 from 15604 (1.8%)</v>
      </c>
      <c r="I65" s="111" t="str">
        <f>IF(HLOOKUP(I$6,CHARMS!$A$6:$CQ$89,41,)&lt;&gt;0,CONCATENATE(HLOOKUP(I$6,CHARMS!$A$6:$CQ$89,41,)," from ",HLOOKUP(I$6,CHARMS!$A$6:$CQ$89,40,)," (",FIXED((HLOOKUP(I$6,CHARMS!$A$6:$CQ$89,41,)/HLOOKUP(I$6,CHARMS!$A$6:$CQ$89,40,))*100,1),"%)"),"")</f>
        <v>70 from 16736 (0.4%)</v>
      </c>
      <c r="J65" s="111" t="str">
        <f>IF(HLOOKUP(J$6,CHARMS!$A$6:$CQ$89,41,)&lt;&gt;0,CONCATENATE(HLOOKUP(J$6,CHARMS!$A$6:$CQ$89,41,)," from ",HLOOKUP(J$6,CHARMS!$A$6:$CQ$89,40,)," (",FIXED((HLOOKUP(J$6,CHARMS!$A$6:$CQ$89,41,)/HLOOKUP(J$6,CHARMS!$A$6:$CQ$89,40,))*100,1),"%)"),"")</f>
        <v>118327 from 2868808 (4.1%)</v>
      </c>
      <c r="K65" s="111" t="str">
        <f>IF(HLOOKUP(K$6,CHARMS!$A$6:$CQ$89,41,)&lt;&gt;0,CONCATENATE(HLOOKUP(K$6,CHARMS!$A$6:$CQ$89,41,)," from ",HLOOKUP(K$6,CHARMS!$A$6:$CQ$89,40,)," (",FIXED((HLOOKUP(K$6,CHARMS!$A$6:$CQ$89,41,)/HLOOKUP(K$6,CHARMS!$A$6:$CQ$89,40,))*100,1),"%)"),"")</f>
        <v>208 from 779 (26.7%)</v>
      </c>
      <c r="L65" s="111" t="str">
        <f>IF(HLOOKUP(L$6,CHARMS!$A$6:$CQ$89,41,)&lt;&gt;0,CONCATENATE(HLOOKUP(L$6,CHARMS!$A$6:$CQ$89,41,)," from ",HLOOKUP(L$6,CHARMS!$A$6:$CQ$89,40,)," (",FIXED((HLOOKUP(L$6,CHARMS!$A$6:$CQ$89,41,)/HLOOKUP(L$6,CHARMS!$A$6:$CQ$89,40,))*100,1),"%)"),"")</f>
        <v>208 from 779 (26.7%)</v>
      </c>
      <c r="M65" s="111" t="str">
        <f>IF(HLOOKUP(M$6,CHARMS!$A$6:$CQ$89,41,)&lt;&gt;0,CONCATENATE(HLOOKUP(M$6,CHARMS!$A$6:$CQ$89,41,)," from ",HLOOKUP(M$6,CHARMS!$A$6:$CQ$89,40,)," (",FIXED((HLOOKUP(M$6,CHARMS!$A$6:$CQ$89,41,)/HLOOKUP(M$6,CHARMS!$A$6:$CQ$89,40,))*100,1),"%)"),"")</f>
        <v>208 from 779 (26.7%)</v>
      </c>
      <c r="N65" s="111" t="str">
        <f>IF(HLOOKUP(N$6,CHARMS!$A$6:$CQ$89,41,)&lt;&gt;0,CONCATENATE(HLOOKUP(N$6,CHARMS!$A$6:$CQ$89,41,)," from ",HLOOKUP(N$6,CHARMS!$A$6:$CQ$89,40,)," (",FIXED((HLOOKUP(N$6,CHARMS!$A$6:$CQ$89,41,)/HLOOKUP(N$6,CHARMS!$A$6:$CQ$89,40,))*100,1),"%)"),"")</f>
        <v>208 from 779 (26.7%)</v>
      </c>
      <c r="O65" s="111" t="str">
        <f>IF(HLOOKUP(O$6,CHARMS!$A$6:$CQ$89,41,)&lt;&gt;0,CONCATENATE(HLOOKUP(O$6,CHARMS!$A$6:$CQ$89,41,)," from ",HLOOKUP(O$6,CHARMS!$A$6:$CQ$89,40,)," (",FIXED((HLOOKUP(O$6,CHARMS!$A$6:$CQ$89,41,)/HLOOKUP(O$6,CHARMS!$A$6:$CQ$89,40,))*100,1),"%)"),"")</f>
        <v>208 from 779 (26.7%)</v>
      </c>
      <c r="P65" s="111" t="str">
        <f>IF(HLOOKUP(P$6,CHARMS!$A$6:$CQ$89,41,)&lt;&gt;0,CONCATENATE(HLOOKUP(P$6,CHARMS!$A$6:$CQ$89,41,)," from ",HLOOKUP(P$6,CHARMS!$A$6:$CQ$89,40,)," (",FIXED((HLOOKUP(P$6,CHARMS!$A$6:$CQ$89,41,)/HLOOKUP(P$6,CHARMS!$A$6:$CQ$89,40,))*100,1),"%)"),"")</f>
        <v>208 from 779 (26.7%)</v>
      </c>
      <c r="Q65" s="111" t="str">
        <f>IF(HLOOKUP(Q$6,CHARMS!$A$6:$CQ$89,41,)&lt;&gt;0,CONCATENATE(HLOOKUP(Q$6,CHARMS!$A$6:$CQ$89,41,)," from ",HLOOKUP(Q$6,CHARMS!$A$6:$CQ$89,40,)," (",FIXED((HLOOKUP(Q$6,CHARMS!$A$6:$CQ$89,41,)/HLOOKUP(Q$6,CHARMS!$A$6:$CQ$89,40,))*100,1),"%)"),"")</f>
        <v>208 from 779 (26.7%)</v>
      </c>
      <c r="R65" s="111" t="str">
        <f>IF(HLOOKUP(R$6,CHARMS!$A$6:$CQ$89,41,)&lt;&gt;0,CONCATENATE(HLOOKUP(R$6,CHARMS!$A$6:$CQ$89,41,)," from ",HLOOKUP(R$6,CHARMS!$A$6:$CQ$89,40,)," (",FIXED((HLOOKUP(R$6,CHARMS!$A$6:$CQ$89,41,)/HLOOKUP(R$6,CHARMS!$A$6:$CQ$89,40,))*100,1),"%)"),"")</f>
        <v>208 from 779 (26.7%)</v>
      </c>
      <c r="S65" s="111" t="str">
        <f>IF(HLOOKUP(S$6,CHARMS!$A$6:$CQ$89,41,)&lt;&gt;0,CONCATENATE(HLOOKUP(S$6,CHARMS!$A$6:$CQ$89,41,)," from ",HLOOKUP(S$6,CHARMS!$A$6:$CQ$89,40,)," (",FIXED((HLOOKUP(S$6,CHARMS!$A$6:$CQ$89,41,)/HLOOKUP(S$6,CHARMS!$A$6:$CQ$89,40,))*100,1),"%)"),"")</f>
        <v>208 from 779 (26.7%)</v>
      </c>
      <c r="T65" s="111" t="str">
        <f>IF(HLOOKUP(T$6,CHARMS!$A$6:$CQ$89,41,)&lt;&gt;0,CONCATENATE(HLOOKUP(T$6,CHARMS!$A$6:$CQ$89,41,)," from ",HLOOKUP(T$6,CHARMS!$A$6:$CQ$89,40,)," (",FIXED((HLOOKUP(T$6,CHARMS!$A$6:$CQ$89,41,)/HLOOKUP(T$6,CHARMS!$A$6:$CQ$89,40,))*100,1),"%)"),"")</f>
        <v>208 from 779 (26.7%)</v>
      </c>
      <c r="U65" s="111" t="str">
        <f>IF(HLOOKUP(U$6,CHARMS!$A$6:$CQ$89,41,)&lt;&gt;0,CONCATENATE(HLOOKUP(U$6,CHARMS!$A$6:$CQ$89,41,)," from ",HLOOKUP(U$6,CHARMS!$A$6:$CQ$89,40,)," (",FIXED((HLOOKUP(U$6,CHARMS!$A$6:$CQ$89,41,)/HLOOKUP(U$6,CHARMS!$A$6:$CQ$89,40,))*100,1),"%)"),"")</f>
        <v>208 from 779 (26.7%)</v>
      </c>
      <c r="V65" s="111" t="str">
        <f>IF(HLOOKUP(V$6,CHARMS!$A$6:$CQ$89,41,)&lt;&gt;0,CONCATENATE(HLOOKUP(V$6,CHARMS!$A$6:$CQ$89,41,)," from ",HLOOKUP(V$6,CHARMS!$A$6:$CQ$89,40,)," (",FIXED((HLOOKUP(V$6,CHARMS!$A$6:$CQ$89,41,)/HLOOKUP(V$6,CHARMS!$A$6:$CQ$89,40,))*100,1),"%)"),"")</f>
        <v>208 from 779 (26.7%)</v>
      </c>
      <c r="W65" s="111" t="str">
        <f>IF(HLOOKUP(W$6,CHARMS!$A$6:$CQ$89,41,)&lt;&gt;0,CONCATENATE(HLOOKUP(W$6,CHARMS!$A$6:$CQ$89,41,)," from ",HLOOKUP(W$6,CHARMS!$A$6:$CQ$89,40,)," (",FIXED((HLOOKUP(W$6,CHARMS!$A$6:$CQ$89,41,)/HLOOKUP(W$6,CHARMS!$A$6:$CQ$89,40,))*100,1),"%)"),"")</f>
        <v>208 from 779 (26.7%)</v>
      </c>
      <c r="X65" s="111" t="str">
        <f>IF(HLOOKUP(X$6,CHARMS!$A$6:$CQ$89,41,)&lt;&gt;0,CONCATENATE(HLOOKUP(X$6,CHARMS!$A$6:$CQ$89,41,)," from ",HLOOKUP(X$6,CHARMS!$A$6:$CQ$89,40,)," (",FIXED((HLOOKUP(X$6,CHARMS!$A$6:$CQ$89,41,)/HLOOKUP(X$6,CHARMS!$A$6:$CQ$89,40,))*100,1),"%)"),"")</f>
        <v>208 from 779 (26.7%)</v>
      </c>
      <c r="Y65" s="111" t="str">
        <f>IF(HLOOKUP(Y$6,CHARMS!$A$6:$CQ$89,41,)&lt;&gt;0,CONCATENATE(HLOOKUP(Y$6,CHARMS!$A$6:$CQ$89,41,)," from ",HLOOKUP(Y$6,CHARMS!$A$6:$CQ$89,40,)," (",FIXED((HLOOKUP(Y$6,CHARMS!$A$6:$CQ$89,41,)/HLOOKUP(Y$6,CHARMS!$A$6:$CQ$89,40,))*100,1),"%)"),"")</f>
        <v>208 from 779 (26.7%)</v>
      </c>
      <c r="Z65" s="111" t="str">
        <f>IF(HLOOKUP(Z$6,CHARMS!$A$6:$CQ$89,41,)&lt;&gt;0,CONCATENATE(HLOOKUP(Z$6,CHARMS!$A$6:$CQ$89,41,)," from ",HLOOKUP(Z$6,CHARMS!$A$6:$CQ$89,40,)," (",FIXED((HLOOKUP(Z$6,CHARMS!$A$6:$CQ$89,41,)/HLOOKUP(Z$6,CHARMS!$A$6:$CQ$89,40,))*100,1),"%)"),"")</f>
        <v>208 from 779 (26.7%)</v>
      </c>
      <c r="AA65" s="111" t="str">
        <f>IF(HLOOKUP(AA$6,CHARMS!$A$6:$CQ$89,41,)&lt;&gt;0,CONCATENATE(HLOOKUP(AA$6,CHARMS!$A$6:$CQ$89,41,)," from ",HLOOKUP(AA$6,CHARMS!$A$6:$CQ$89,40,)," (",FIXED((HLOOKUP(AA$6,CHARMS!$A$6:$CQ$89,41,)/HLOOKUP(AA$6,CHARMS!$A$6:$CQ$89,40,))*100,1),"%)"),"")</f>
        <v>208 from 779 (26.7%)</v>
      </c>
      <c r="AB65" s="111" t="str">
        <f>IF(HLOOKUP(AB$6,CHARMS!$A$6:$CQ$89,41,)&lt;&gt;0,CONCATENATE(HLOOKUP(AB$6,CHARMS!$A$6:$CQ$89,41,)," from ",HLOOKUP(AB$6,CHARMS!$A$6:$CQ$89,40,)," (",FIXED((HLOOKUP(AB$6,CHARMS!$A$6:$CQ$89,41,)/HLOOKUP(AB$6,CHARMS!$A$6:$CQ$89,40,))*100,1),"%)"),"")</f>
        <v>208 from 779 (26.7%)</v>
      </c>
      <c r="AC65" s="111" t="str">
        <f>IF(HLOOKUP(AC$6,CHARMS!$A$6:$CQ$89,41,)&lt;&gt;0,CONCATENATE(HLOOKUP(AC$6,CHARMS!$A$6:$CQ$89,41,)," from ",HLOOKUP(AC$6,CHARMS!$A$6:$CQ$89,40,)," (",FIXED((HLOOKUP(AC$6,CHARMS!$A$6:$CQ$89,41,)/HLOOKUP(AC$6,CHARMS!$A$6:$CQ$89,40,))*100,1),"%)"),"")</f>
        <v>208 from 779 (26.7%)</v>
      </c>
      <c r="AD65" s="111" t="str">
        <f>IF(HLOOKUP(AD$6,CHARMS!$A$6:$CQ$89,41,)&lt;&gt;0,CONCATENATE(HLOOKUP(AD$6,CHARMS!$A$6:$CQ$89,41,)," from ",HLOOKUP(AD$6,CHARMS!$A$6:$CQ$89,40,)," (",FIXED((HLOOKUP(AD$6,CHARMS!$A$6:$CQ$89,41,)/HLOOKUP(AD$6,CHARMS!$A$6:$CQ$89,40,))*100,1),"%)"),"")</f>
        <v>208 from 779 (26.7%)</v>
      </c>
      <c r="AE65" s="111" t="str">
        <f>IF(HLOOKUP(AE$6,CHARMS!$A$6:$CQ$89,41,)&lt;&gt;0,CONCATENATE(HLOOKUP(AE$6,CHARMS!$A$6:$CQ$89,41,)," from ",HLOOKUP(AE$6,CHARMS!$A$6:$CQ$89,40,)," (",FIXED((HLOOKUP(AE$6,CHARMS!$A$6:$CQ$89,41,)/HLOOKUP(AE$6,CHARMS!$A$6:$CQ$89,40,))*100,1),"%)"),"")</f>
        <v>208 from 779 (26.7%)</v>
      </c>
    </row>
    <row r="66" spans="1:31" s="83" customFormat="1" ht="15" customHeight="1" x14ac:dyDescent="0.3">
      <c r="A66" s="110" t="s">
        <v>236</v>
      </c>
      <c r="B66" s="120" t="str">
        <f>IF(HLOOKUP(B$6,CHARMS!$A$6:$CQ$89,43,)&lt;&gt;0,HLOOKUP(B$6,CHARMS!$A$6:$CQ$89,43,),"")</f>
        <v>Unknown</v>
      </c>
      <c r="C66" s="111">
        <f>IF(HLOOKUP(C$6,CHARMS!$A$6:$CQ$89,43,)&lt;&gt;0,HLOOKUP(C$6,CHARMS!$A$6:$CQ$89,43,),"")</f>
        <v>8.986486486486486</v>
      </c>
      <c r="D66" s="111">
        <f>IF(HLOOKUP(D$6,CHARMS!$A$6:$CQ$89,43,)&lt;&gt;0,HLOOKUP(D$6,CHARMS!$A$6:$CQ$89,43,),"")</f>
        <v>8.5270270270270263</v>
      </c>
      <c r="E66" s="111" t="str">
        <f>IF(HLOOKUP(E$6,CHARMS!$A$6:$CQ$89,43,)&lt;&gt;0,HLOOKUP(E$6,CHARMS!$A$6:$CQ$89,43,),"")</f>
        <v>Unknown</v>
      </c>
      <c r="F66" s="111">
        <f>IF(HLOOKUP(F$6,CHARMS!$A$6:$CQ$89,43,)&lt;&gt;0,HLOOKUP(F$6,CHARMS!$A$6:$CQ$89,43,),"")</f>
        <v>10.16</v>
      </c>
      <c r="G66" s="111">
        <f>IF(HLOOKUP(G$6,CHARMS!$A$6:$CQ$89,43,)&lt;&gt;0,HLOOKUP(G$6,CHARMS!$A$6:$CQ$89,43,),"")</f>
        <v>198.22222222222223</v>
      </c>
      <c r="H66" s="111">
        <f>IF(HLOOKUP(H$6,CHARMS!$A$6:$CQ$89,43,)&lt;&gt;0,HLOOKUP(H$6,CHARMS!$A$6:$CQ$89,43,),"")</f>
        <v>3.2674418604651163</v>
      </c>
      <c r="I66" s="111">
        <f>IF(HLOOKUP(I$6,CHARMS!$A$6:$CQ$89,43,)&lt;&gt;0,HLOOKUP(I$6,CHARMS!$A$6:$CQ$89,43,),"")</f>
        <v>0.77777777777777779</v>
      </c>
      <c r="J66" s="111" t="str">
        <f>IF(HLOOKUP(J$6,CHARMS!$A$6:$CQ$89,43,)&lt;&gt;0,HLOOKUP(J$6,CHARMS!$A$6:$CQ$89,43,),"")</f>
        <v>Unknown</v>
      </c>
      <c r="K66" s="111">
        <f>IF(HLOOKUP(K$6,CHARMS!$A$6:$CQ$89,43,)&lt;&gt;0,HLOOKUP(K$6,CHARMS!$A$6:$CQ$89,43,),"")</f>
        <v>8</v>
      </c>
      <c r="L66" s="111">
        <f>IF(HLOOKUP(L$6,CHARMS!$A$6:$CQ$89,43,)&lt;&gt;0,HLOOKUP(L$6,CHARMS!$A$6:$CQ$89,43,),"")</f>
        <v>8</v>
      </c>
      <c r="M66" s="111">
        <f>IF(HLOOKUP(M$6,CHARMS!$A$6:$CQ$89,43,)&lt;&gt;0,HLOOKUP(M$6,CHARMS!$A$6:$CQ$89,43,),"")</f>
        <v>8</v>
      </c>
      <c r="N66" s="111">
        <f>IF(HLOOKUP(N$6,CHARMS!$A$6:$CQ$89,43,)&lt;&gt;0,HLOOKUP(N$6,CHARMS!$A$6:$CQ$89,43,),"")</f>
        <v>8</v>
      </c>
      <c r="O66" s="111">
        <f>IF(HLOOKUP(O$6,CHARMS!$A$6:$CQ$89,43,)&lt;&gt;0,HLOOKUP(O$6,CHARMS!$A$6:$CQ$89,43,),"")</f>
        <v>8</v>
      </c>
      <c r="P66" s="111">
        <f>IF(HLOOKUP(P$6,CHARMS!$A$6:$CQ$89,43,)&lt;&gt;0,HLOOKUP(P$6,CHARMS!$A$6:$CQ$89,43,),"")</f>
        <v>8</v>
      </c>
      <c r="Q66" s="111">
        <f>IF(HLOOKUP(Q$6,CHARMS!$A$6:$CQ$89,43,)&lt;&gt;0,HLOOKUP(Q$6,CHARMS!$A$6:$CQ$89,43,),"")</f>
        <v>8</v>
      </c>
      <c r="R66" s="111">
        <f>IF(HLOOKUP(R$6,CHARMS!$A$6:$CQ$89,43,)&lt;&gt;0,HLOOKUP(R$6,CHARMS!$A$6:$CQ$89,43,),"")</f>
        <v>8</v>
      </c>
      <c r="S66" s="111">
        <f>IF(HLOOKUP(S$6,CHARMS!$A$6:$CQ$89,43,)&lt;&gt;0,HLOOKUP(S$6,CHARMS!$A$6:$CQ$89,43,),"")</f>
        <v>8</v>
      </c>
      <c r="T66" s="111">
        <f>IF(HLOOKUP(T$6,CHARMS!$A$6:$CQ$89,43,)&lt;&gt;0,HLOOKUP(T$6,CHARMS!$A$6:$CQ$89,43,),"")</f>
        <v>8</v>
      </c>
      <c r="U66" s="111">
        <f>IF(HLOOKUP(U$6,CHARMS!$A$6:$CQ$89,43,)&lt;&gt;0,HLOOKUP(U$6,CHARMS!$A$6:$CQ$89,43,),"")</f>
        <v>8</v>
      </c>
      <c r="V66" s="111">
        <f>IF(HLOOKUP(V$6,CHARMS!$A$6:$CQ$89,43,)&lt;&gt;0,HLOOKUP(V$6,CHARMS!$A$6:$CQ$89,43,),"")</f>
        <v>8</v>
      </c>
      <c r="W66" s="111">
        <f>IF(HLOOKUP(W$6,CHARMS!$A$6:$CQ$89,43,)&lt;&gt;0,HLOOKUP(W$6,CHARMS!$A$6:$CQ$89,43,),"")</f>
        <v>8</v>
      </c>
      <c r="X66" s="111">
        <f>IF(HLOOKUP(X$6,CHARMS!$A$6:$CQ$89,43,)&lt;&gt;0,HLOOKUP(X$6,CHARMS!$A$6:$CQ$89,43,),"")</f>
        <v>8</v>
      </c>
      <c r="Y66" s="111">
        <f>IF(HLOOKUP(Y$6,CHARMS!$A$6:$CQ$89,43,)&lt;&gt;0,HLOOKUP(Y$6,CHARMS!$A$6:$CQ$89,43,),"")</f>
        <v>8</v>
      </c>
      <c r="Z66" s="111">
        <f>IF(HLOOKUP(Z$6,CHARMS!$A$6:$CQ$89,43,)&lt;&gt;0,HLOOKUP(Z$6,CHARMS!$A$6:$CQ$89,43,),"")</f>
        <v>8</v>
      </c>
      <c r="AA66" s="111">
        <f>IF(HLOOKUP(AA$6,CHARMS!$A$6:$CQ$89,43,)&lt;&gt;0,HLOOKUP(AA$6,CHARMS!$A$6:$CQ$89,43,),"")</f>
        <v>8</v>
      </c>
      <c r="AB66" s="111">
        <f>IF(HLOOKUP(AB$6,CHARMS!$A$6:$CQ$89,43,)&lt;&gt;0,HLOOKUP(AB$6,CHARMS!$A$6:$CQ$89,43,),"")</f>
        <v>8</v>
      </c>
      <c r="AC66" s="111">
        <f>IF(HLOOKUP(AC$6,CHARMS!$A$6:$CQ$89,43,)&lt;&gt;0,HLOOKUP(AC$6,CHARMS!$A$6:$CQ$89,43,),"")</f>
        <v>8</v>
      </c>
      <c r="AD66" s="111">
        <f>IF(HLOOKUP(AD$6,CHARMS!$A$6:$CQ$89,43,)&lt;&gt;0,HLOOKUP(AD$6,CHARMS!$A$6:$CQ$89,43,),"")</f>
        <v>8</v>
      </c>
      <c r="AE66" s="111">
        <f>IF(HLOOKUP(AE$6,CHARMS!$A$6:$CQ$89,43,)&lt;&gt;0,HLOOKUP(AE$6,CHARMS!$A$6:$CQ$89,43,),"")</f>
        <v>8</v>
      </c>
    </row>
    <row r="67" spans="1:31" s="83" customFormat="1" ht="15" customHeight="1" x14ac:dyDescent="0.3">
      <c r="A67" s="110" t="s">
        <v>237</v>
      </c>
      <c r="B67" s="111" t="str">
        <f>IF(HLOOKUP(B$6,CHARMS!$A$6:$CQ$89,38,)&lt;&gt;0,HLOOKUP(B$6,CHARMS!$A$6:$CQ$89,38,),"")</f>
        <v>No information</v>
      </c>
      <c r="C67" s="111" t="str">
        <f>IF(HLOOKUP(C$6,CHARMS!$A$6:$CQ$89,38,)&lt;&gt;0,HLOOKUP(C$6,CHARMS!$A$6:$CQ$89,38,),"")</f>
        <v>No information</v>
      </c>
      <c r="D67" s="111" t="str">
        <f>IF(HLOOKUP(D$6,CHARMS!$A$6:$CQ$89,38,)&lt;&gt;0,HLOOKUP(D$6,CHARMS!$A$6:$CQ$89,38,),"")</f>
        <v>Dichotomization</v>
      </c>
      <c r="E67" s="111" t="str">
        <f>IF(HLOOKUP(E$6,CHARMS!$A$6:$CQ$89,38,)&lt;&gt;0,HLOOKUP(E$6,CHARMS!$A$6:$CQ$89,38,),"")</f>
        <v>categorized and continuous</v>
      </c>
      <c r="F67" s="111" t="str">
        <f>IF(HLOOKUP(F$6,CHARMS!$A$6:$CQ$89,38,)&lt;&gt;0,HLOOKUP(F$6,CHARMS!$A$6:$CQ$89,38,),"")</f>
        <v>No categorization</v>
      </c>
      <c r="G67" s="111" t="str">
        <f>IF(HLOOKUP(G$6,CHARMS!$A$6:$CQ$89,38,)&lt;&gt;0,HLOOKUP(G$6,CHARMS!$A$6:$CQ$89,38,),"")</f>
        <v>No categorization</v>
      </c>
      <c r="H67" s="111" t="str">
        <f>IF(HLOOKUP(H$6,CHARMS!$A$6:$CQ$89,38,)&lt;&gt;0,HLOOKUP(H$6,CHARMS!$A$6:$CQ$89,38,),"")</f>
        <v>No information</v>
      </c>
      <c r="I67" s="111" t="str">
        <f>IF(HLOOKUP(I$6,CHARMS!$A$6:$CQ$89,38,)&lt;&gt;0,HLOOKUP(I$6,CHARMS!$A$6:$CQ$89,38,),"")</f>
        <v>No information</v>
      </c>
      <c r="J67" s="111" t="str">
        <f>IF(HLOOKUP(J$6,CHARMS!$A$6:$CQ$89,38,)&lt;&gt;0,HLOOKUP(J$6,CHARMS!$A$6:$CQ$89,38,),"")</f>
        <v>No information</v>
      </c>
      <c r="K67" s="111" t="str">
        <f>IF(HLOOKUP(K$6,CHARMS!$A$6:$CQ$89,38,)&lt;&gt;0,HLOOKUP(K$6,CHARMS!$A$6:$CQ$89,38,),"")</f>
        <v>No information</v>
      </c>
      <c r="L67" s="111" t="str">
        <f>IF(HLOOKUP(L$6,CHARMS!$A$6:$CQ$89,38,)&lt;&gt;0,HLOOKUP(L$6,CHARMS!$A$6:$CQ$89,38,),"")</f>
        <v>No information</v>
      </c>
      <c r="M67" s="111" t="str">
        <f>IF(HLOOKUP(M$6,CHARMS!$A$6:$CQ$89,38,)&lt;&gt;0,HLOOKUP(M$6,CHARMS!$A$6:$CQ$89,38,),"")</f>
        <v>No information</v>
      </c>
      <c r="N67" s="111" t="str">
        <f>IF(HLOOKUP(N$6,CHARMS!$A$6:$CQ$89,38,)&lt;&gt;0,HLOOKUP(N$6,CHARMS!$A$6:$CQ$89,38,),"")</f>
        <v>No information</v>
      </c>
      <c r="O67" s="111" t="str">
        <f>IF(HLOOKUP(O$6,CHARMS!$A$6:$CQ$89,38,)&lt;&gt;0,HLOOKUP(O$6,CHARMS!$A$6:$CQ$89,38,),"")</f>
        <v>No information</v>
      </c>
      <c r="P67" s="111" t="str">
        <f>IF(HLOOKUP(P$6,CHARMS!$A$6:$CQ$89,38,)&lt;&gt;0,HLOOKUP(P$6,CHARMS!$A$6:$CQ$89,38,),"")</f>
        <v>No information</v>
      </c>
      <c r="Q67" s="111" t="str">
        <f>IF(HLOOKUP(Q$6,CHARMS!$A$6:$CQ$89,38,)&lt;&gt;0,HLOOKUP(Q$6,CHARMS!$A$6:$CQ$89,38,),"")</f>
        <v>No information</v>
      </c>
      <c r="R67" s="111" t="str">
        <f>IF(HLOOKUP(R$6,CHARMS!$A$6:$CQ$89,38,)&lt;&gt;0,HLOOKUP(R$6,CHARMS!$A$6:$CQ$89,38,),"")</f>
        <v>No information</v>
      </c>
      <c r="S67" s="111" t="str">
        <f>IF(HLOOKUP(S$6,CHARMS!$A$6:$CQ$89,38,)&lt;&gt;0,HLOOKUP(S$6,CHARMS!$A$6:$CQ$89,38,),"")</f>
        <v>No information</v>
      </c>
      <c r="T67" s="111" t="str">
        <f>IF(HLOOKUP(T$6,CHARMS!$A$6:$CQ$89,38,)&lt;&gt;0,HLOOKUP(T$6,CHARMS!$A$6:$CQ$89,38,),"")</f>
        <v>No information</v>
      </c>
      <c r="U67" s="111" t="str">
        <f>IF(HLOOKUP(U$6,CHARMS!$A$6:$CQ$89,38,)&lt;&gt;0,HLOOKUP(U$6,CHARMS!$A$6:$CQ$89,38,),"")</f>
        <v>No information</v>
      </c>
      <c r="V67" s="111" t="str">
        <f>IF(HLOOKUP(V$6,CHARMS!$A$6:$CQ$89,38,)&lt;&gt;0,HLOOKUP(V$6,CHARMS!$A$6:$CQ$89,38,),"")</f>
        <v>No information</v>
      </c>
      <c r="W67" s="111" t="str">
        <f>IF(HLOOKUP(W$6,CHARMS!$A$6:$CQ$89,38,)&lt;&gt;0,HLOOKUP(W$6,CHARMS!$A$6:$CQ$89,38,),"")</f>
        <v>No information</v>
      </c>
      <c r="X67" s="111" t="str">
        <f>IF(HLOOKUP(X$6,CHARMS!$A$6:$CQ$89,38,)&lt;&gt;0,HLOOKUP(X$6,CHARMS!$A$6:$CQ$89,38,),"")</f>
        <v>No information</v>
      </c>
      <c r="Y67" s="111" t="str">
        <f>IF(HLOOKUP(Y$6,CHARMS!$A$6:$CQ$89,38,)&lt;&gt;0,HLOOKUP(Y$6,CHARMS!$A$6:$CQ$89,38,),"")</f>
        <v>No information</v>
      </c>
      <c r="Z67" s="111" t="str">
        <f>IF(HLOOKUP(Z$6,CHARMS!$A$6:$CQ$89,38,)&lt;&gt;0,HLOOKUP(Z$6,CHARMS!$A$6:$CQ$89,38,),"")</f>
        <v>No information</v>
      </c>
      <c r="AA67" s="111" t="str">
        <f>IF(HLOOKUP(AA$6,CHARMS!$A$6:$CQ$89,38,)&lt;&gt;0,HLOOKUP(AA$6,CHARMS!$A$6:$CQ$89,38,),"")</f>
        <v>No information</v>
      </c>
      <c r="AB67" s="111" t="str">
        <f>IF(HLOOKUP(AB$6,CHARMS!$A$6:$CQ$89,38,)&lt;&gt;0,HLOOKUP(AB$6,CHARMS!$A$6:$CQ$89,38,),"")</f>
        <v>No information</v>
      </c>
      <c r="AC67" s="111" t="str">
        <f>IF(HLOOKUP(AC$6,CHARMS!$A$6:$CQ$89,38,)&lt;&gt;0,HLOOKUP(AC$6,CHARMS!$A$6:$CQ$89,38,),"")</f>
        <v>No information</v>
      </c>
      <c r="AD67" s="111" t="str">
        <f>IF(HLOOKUP(AD$6,CHARMS!$A$6:$CQ$89,38,)&lt;&gt;0,HLOOKUP(AD$6,CHARMS!$A$6:$CQ$89,38,),"")</f>
        <v>No information</v>
      </c>
      <c r="AE67" s="111" t="str">
        <f>IF(HLOOKUP(AE$6,CHARMS!$A$6:$CQ$89,38,)&lt;&gt;0,HLOOKUP(AE$6,CHARMS!$A$6:$CQ$89,38,),"")</f>
        <v>No information</v>
      </c>
    </row>
    <row r="68" spans="1:31" s="83" customFormat="1" ht="15" customHeight="1" x14ac:dyDescent="0.3">
      <c r="A68" s="110" t="s">
        <v>238</v>
      </c>
      <c r="B68" s="111" t="str">
        <f>IF(HLOOKUP(B$6,CHARMS!$A$6:$CQ$89,45,)&lt;&gt;0,HLOOKUP(B$6,CHARMS!$A$6:$CQ$89,45,),"")</f>
        <v>No information</v>
      </c>
      <c r="C68" s="111" t="str">
        <f>IF(HLOOKUP(C$6,CHARMS!$A$6:$CQ$89,45,)&lt;&gt;0,HLOOKUP(C$6,CHARMS!$A$6:$CQ$89,45,),"")</f>
        <v>No information</v>
      </c>
      <c r="D68" s="111" t="str">
        <f>IF(HLOOKUP(D$6,CHARMS!$A$6:$CQ$89,45,)&lt;&gt;0,HLOOKUP(D$6,CHARMS!$A$6:$CQ$89,45,),"")</f>
        <v>No information</v>
      </c>
      <c r="E68" s="111">
        <f>IF(HLOOKUP(E$6,CHARMS!$A$6:$CQ$89,45,)&lt;&gt;0,HLOOKUP(E$6,CHARMS!$A$6:$CQ$89,45,),"")</f>
        <v>991623</v>
      </c>
      <c r="F68" s="111" t="str">
        <f>IF(HLOOKUP(F$6,CHARMS!$A$6:$CQ$89,45,)&lt;&gt;0,HLOOKUP(F$6,CHARMS!$A$6:$CQ$89,45,),"")</f>
        <v>No information</v>
      </c>
      <c r="G68" s="111">
        <f>IF(HLOOKUP(G$6,CHARMS!$A$6:$CQ$89,45,)&lt;&gt;0,HLOOKUP(G$6,CHARMS!$A$6:$CQ$89,45,),"")</f>
        <v>8364</v>
      </c>
      <c r="H68" s="111">
        <f>IF(HLOOKUP(H$6,CHARMS!$A$6:$CQ$89,45,)&lt;&gt;0,HLOOKUP(H$6,CHARMS!$A$6:$CQ$89,45,),"")</f>
        <v>6268</v>
      </c>
      <c r="I68" s="111">
        <f>IF(HLOOKUP(I$6,CHARMS!$A$6:$CQ$89,45,)&lt;&gt;0,HLOOKUP(I$6,CHARMS!$A$6:$CQ$89,45,),"")</f>
        <v>45</v>
      </c>
      <c r="J68" s="111" t="str">
        <f>IF(HLOOKUP(J$6,CHARMS!$A$6:$CQ$89,45,)&lt;&gt;0,HLOOKUP(J$6,CHARMS!$A$6:$CQ$89,45,),"")</f>
        <v>No information</v>
      </c>
      <c r="K68" s="111">
        <f>IF(HLOOKUP(K$6,CHARMS!$A$6:$CQ$89,45,)&lt;&gt;0,HLOOKUP(K$6,CHARMS!$A$6:$CQ$89,45,),"")</f>
        <v>4</v>
      </c>
      <c r="L68" s="111">
        <f>IF(HLOOKUP(L$6,CHARMS!$A$6:$CQ$89,45,)&lt;&gt;0,HLOOKUP(L$6,CHARMS!$A$6:$CQ$89,45,),"")</f>
        <v>4</v>
      </c>
      <c r="M68" s="111">
        <f>IF(HLOOKUP(M$6,CHARMS!$A$6:$CQ$89,45,)&lt;&gt;0,HLOOKUP(M$6,CHARMS!$A$6:$CQ$89,45,),"")</f>
        <v>4</v>
      </c>
      <c r="N68" s="111">
        <f>IF(HLOOKUP(N$6,CHARMS!$A$6:$CQ$89,45,)&lt;&gt;0,HLOOKUP(N$6,CHARMS!$A$6:$CQ$89,45,),"")</f>
        <v>4</v>
      </c>
      <c r="O68" s="111">
        <f>IF(HLOOKUP(O$6,CHARMS!$A$6:$CQ$89,45,)&lt;&gt;0,HLOOKUP(O$6,CHARMS!$A$6:$CQ$89,45,),"")</f>
        <v>4</v>
      </c>
      <c r="P68" s="111">
        <f>IF(HLOOKUP(P$6,CHARMS!$A$6:$CQ$89,45,)&lt;&gt;0,HLOOKUP(P$6,CHARMS!$A$6:$CQ$89,45,),"")</f>
        <v>4</v>
      </c>
      <c r="Q68" s="111">
        <f>IF(HLOOKUP(Q$6,CHARMS!$A$6:$CQ$89,45,)&lt;&gt;0,HLOOKUP(Q$6,CHARMS!$A$6:$CQ$89,45,),"")</f>
        <v>4</v>
      </c>
      <c r="R68" s="111">
        <f>IF(HLOOKUP(R$6,CHARMS!$A$6:$CQ$89,45,)&lt;&gt;0,HLOOKUP(R$6,CHARMS!$A$6:$CQ$89,45,),"")</f>
        <v>4</v>
      </c>
      <c r="S68" s="111">
        <f>IF(HLOOKUP(S$6,CHARMS!$A$6:$CQ$89,45,)&lt;&gt;0,HLOOKUP(S$6,CHARMS!$A$6:$CQ$89,45,),"")</f>
        <v>4</v>
      </c>
      <c r="T68" s="111">
        <f>IF(HLOOKUP(T$6,CHARMS!$A$6:$CQ$89,45,)&lt;&gt;0,HLOOKUP(T$6,CHARMS!$A$6:$CQ$89,45,),"")</f>
        <v>4</v>
      </c>
      <c r="U68" s="111">
        <f>IF(HLOOKUP(U$6,CHARMS!$A$6:$CQ$89,45,)&lt;&gt;0,HLOOKUP(U$6,CHARMS!$A$6:$CQ$89,45,),"")</f>
        <v>4</v>
      </c>
      <c r="V68" s="111">
        <f>IF(HLOOKUP(V$6,CHARMS!$A$6:$CQ$89,45,)&lt;&gt;0,HLOOKUP(V$6,CHARMS!$A$6:$CQ$89,45,),"")</f>
        <v>4</v>
      </c>
      <c r="W68" s="111">
        <f>IF(HLOOKUP(W$6,CHARMS!$A$6:$CQ$89,45,)&lt;&gt;0,HLOOKUP(W$6,CHARMS!$A$6:$CQ$89,45,),"")</f>
        <v>4</v>
      </c>
      <c r="X68" s="111">
        <f>IF(HLOOKUP(X$6,CHARMS!$A$6:$CQ$89,45,)&lt;&gt;0,HLOOKUP(X$6,CHARMS!$A$6:$CQ$89,45,),"")</f>
        <v>4</v>
      </c>
      <c r="Y68" s="111">
        <f>IF(HLOOKUP(Y$6,CHARMS!$A$6:$CQ$89,45,)&lt;&gt;0,HLOOKUP(Y$6,CHARMS!$A$6:$CQ$89,45,),"")</f>
        <v>4</v>
      </c>
      <c r="Z68" s="111">
        <f>IF(HLOOKUP(Z$6,CHARMS!$A$6:$CQ$89,45,)&lt;&gt;0,HLOOKUP(Z$6,CHARMS!$A$6:$CQ$89,45,),"")</f>
        <v>4</v>
      </c>
      <c r="AA68" s="111">
        <f>IF(HLOOKUP(AA$6,CHARMS!$A$6:$CQ$89,45,)&lt;&gt;0,HLOOKUP(AA$6,CHARMS!$A$6:$CQ$89,45,),"")</f>
        <v>4</v>
      </c>
      <c r="AB68" s="111">
        <f>IF(HLOOKUP(AB$6,CHARMS!$A$6:$CQ$89,45,)&lt;&gt;0,HLOOKUP(AB$6,CHARMS!$A$6:$CQ$89,45,),"")</f>
        <v>4</v>
      </c>
      <c r="AC68" s="111">
        <f>IF(HLOOKUP(AC$6,CHARMS!$A$6:$CQ$89,45,)&lt;&gt;0,HLOOKUP(AC$6,CHARMS!$A$6:$CQ$89,45,),"")</f>
        <v>4</v>
      </c>
      <c r="AD68" s="111">
        <f>IF(HLOOKUP(AD$6,CHARMS!$A$6:$CQ$89,45,)&lt;&gt;0,HLOOKUP(AD$6,CHARMS!$A$6:$CQ$89,45,),"")</f>
        <v>4</v>
      </c>
      <c r="AE68" s="111">
        <f>IF(HLOOKUP(AE$6,CHARMS!$A$6:$CQ$89,45,)&lt;&gt;0,HLOOKUP(AE$6,CHARMS!$A$6:$CQ$89,45,),"")</f>
        <v>4</v>
      </c>
    </row>
    <row r="69" spans="1:31" s="83" customFormat="1" ht="15" customHeight="1" x14ac:dyDescent="0.3">
      <c r="A69" s="110" t="s">
        <v>239</v>
      </c>
      <c r="B69" s="111" t="str">
        <f>IF(HLOOKUP(B$6,CHARMS!$A$6:$CQ$89,46,)&lt;&gt;0,HLOOKUP(B$6,CHARMS!$A$6:$CQ$89,46,),"")</f>
        <v>No information</v>
      </c>
      <c r="C69" s="111" t="str">
        <f>IF(HLOOKUP(C$6,CHARMS!$A$6:$CQ$89,46,)&lt;&gt;0,HLOOKUP(C$6,CHARMS!$A$6:$CQ$89,46,),"")</f>
        <v>No information</v>
      </c>
      <c r="D69" s="111" t="str">
        <f>IF(HLOOKUP(D$6,CHARMS!$A$6:$CQ$89,46,)&lt;&gt;0,HLOOKUP(D$6,CHARMS!$A$6:$CQ$89,46,),"")</f>
        <v>No information</v>
      </c>
      <c r="E69" s="111" t="str">
        <f>IF(HLOOKUP(E$6,CHARMS!$A$6:$CQ$89,46,)&lt;&gt;0,HLOOKUP(E$6,CHARMS!$A$6:$CQ$89,46,),"")</f>
        <v>No information</v>
      </c>
      <c r="F69" s="111" t="str">
        <f>IF(HLOOKUP(F$6,CHARMS!$A$6:$CQ$89,46,)&lt;&gt;0,HLOOKUP(F$6,CHARMS!$A$6:$CQ$89,46,),"")</f>
        <v>Other</v>
      </c>
      <c r="G69" s="111" t="str">
        <f>IF(HLOOKUP(G$6,CHARMS!$A$6:$CQ$89,46,)&lt;&gt;0,HLOOKUP(G$6,CHARMS!$A$6:$CQ$89,46,),"")</f>
        <v>Single imputation</v>
      </c>
      <c r="H69" s="111" t="str">
        <f>IF(HLOOKUP(H$6,CHARMS!$A$6:$CQ$89,46,)&lt;&gt;0,HLOOKUP(H$6,CHARMS!$A$6:$CQ$89,46,),"")</f>
        <v>Complete-case analysis</v>
      </c>
      <c r="I69" s="111" t="str">
        <f>IF(HLOOKUP(I$6,CHARMS!$A$6:$CQ$89,46,)&lt;&gt;0,HLOOKUP(I$6,CHARMS!$A$6:$CQ$89,46,),"")</f>
        <v>No information</v>
      </c>
      <c r="J69" s="111" t="str">
        <f>IF(HLOOKUP(J$6,CHARMS!$A$6:$CQ$89,46,)&lt;&gt;0,HLOOKUP(J$6,CHARMS!$A$6:$CQ$89,46,),"")</f>
        <v>Multiple imputation</v>
      </c>
      <c r="K69" s="111" t="str">
        <f>IF(HLOOKUP(K$6,CHARMS!$A$6:$CQ$89,46,)&lt;&gt;0,HLOOKUP(K$6,CHARMS!$A$6:$CQ$89,46,),"")</f>
        <v>Complete-case analysis</v>
      </c>
      <c r="L69" s="111" t="str">
        <f>IF(HLOOKUP(L$6,CHARMS!$A$6:$CQ$89,46,)&lt;&gt;0,HLOOKUP(L$6,CHARMS!$A$6:$CQ$89,46,),"")</f>
        <v>Complete-case analysis</v>
      </c>
      <c r="M69" s="111" t="str">
        <f>IF(HLOOKUP(M$6,CHARMS!$A$6:$CQ$89,46,)&lt;&gt;0,HLOOKUP(M$6,CHARMS!$A$6:$CQ$89,46,),"")</f>
        <v>Complete-case analysis</v>
      </c>
      <c r="N69" s="111" t="str">
        <f>IF(HLOOKUP(N$6,CHARMS!$A$6:$CQ$89,46,)&lt;&gt;0,HLOOKUP(N$6,CHARMS!$A$6:$CQ$89,46,),"")</f>
        <v>Complete-case analysis</v>
      </c>
      <c r="O69" s="111" t="str">
        <f>IF(HLOOKUP(O$6,CHARMS!$A$6:$CQ$89,46,)&lt;&gt;0,HLOOKUP(O$6,CHARMS!$A$6:$CQ$89,46,),"")</f>
        <v>Complete-case analysis</v>
      </c>
      <c r="P69" s="111" t="str">
        <f>IF(HLOOKUP(P$6,CHARMS!$A$6:$CQ$89,46,)&lt;&gt;0,HLOOKUP(P$6,CHARMS!$A$6:$CQ$89,46,),"")</f>
        <v>Complete-case analysis</v>
      </c>
      <c r="Q69" s="111" t="str">
        <f>IF(HLOOKUP(Q$6,CHARMS!$A$6:$CQ$89,46,)&lt;&gt;0,HLOOKUP(Q$6,CHARMS!$A$6:$CQ$89,46,),"")</f>
        <v>Complete-case analysis</v>
      </c>
      <c r="R69" s="111" t="str">
        <f>IF(HLOOKUP(R$6,CHARMS!$A$6:$CQ$89,46,)&lt;&gt;0,HLOOKUP(R$6,CHARMS!$A$6:$CQ$89,46,),"")</f>
        <v>Complete-case analysis</v>
      </c>
      <c r="S69" s="111" t="str">
        <f>IF(HLOOKUP(S$6,CHARMS!$A$6:$CQ$89,46,)&lt;&gt;0,HLOOKUP(S$6,CHARMS!$A$6:$CQ$89,46,),"")</f>
        <v>Complete-case analysis</v>
      </c>
      <c r="T69" s="111" t="str">
        <f>IF(HLOOKUP(T$6,CHARMS!$A$6:$CQ$89,46,)&lt;&gt;0,HLOOKUP(T$6,CHARMS!$A$6:$CQ$89,46,),"")</f>
        <v>Complete-case analysis</v>
      </c>
      <c r="U69" s="111" t="str">
        <f>IF(HLOOKUP(U$6,CHARMS!$A$6:$CQ$89,46,)&lt;&gt;0,HLOOKUP(U$6,CHARMS!$A$6:$CQ$89,46,),"")</f>
        <v>Complete-case analysis</v>
      </c>
      <c r="V69" s="111" t="str">
        <f>IF(HLOOKUP(V$6,CHARMS!$A$6:$CQ$89,46,)&lt;&gt;0,HLOOKUP(V$6,CHARMS!$A$6:$CQ$89,46,),"")</f>
        <v>Complete-case analysis</v>
      </c>
      <c r="W69" s="111" t="str">
        <f>IF(HLOOKUP(W$6,CHARMS!$A$6:$CQ$89,46,)&lt;&gt;0,HLOOKUP(W$6,CHARMS!$A$6:$CQ$89,46,),"")</f>
        <v>Complete-case analysis</v>
      </c>
      <c r="X69" s="111" t="str">
        <f>IF(HLOOKUP(X$6,CHARMS!$A$6:$CQ$89,46,)&lt;&gt;0,HLOOKUP(X$6,CHARMS!$A$6:$CQ$89,46,),"")</f>
        <v>Complete-case analysis</v>
      </c>
      <c r="Y69" s="111" t="str">
        <f>IF(HLOOKUP(Y$6,CHARMS!$A$6:$CQ$89,46,)&lt;&gt;0,HLOOKUP(Y$6,CHARMS!$A$6:$CQ$89,46,),"")</f>
        <v>Complete-case analysis</v>
      </c>
      <c r="Z69" s="111" t="str">
        <f>IF(HLOOKUP(Z$6,CHARMS!$A$6:$CQ$89,46,)&lt;&gt;0,HLOOKUP(Z$6,CHARMS!$A$6:$CQ$89,46,),"")</f>
        <v>Complete-case analysis</v>
      </c>
      <c r="AA69" s="111" t="str">
        <f>IF(HLOOKUP(AA$6,CHARMS!$A$6:$CQ$89,46,)&lt;&gt;0,HLOOKUP(AA$6,CHARMS!$A$6:$CQ$89,46,),"")</f>
        <v>Complete-case analysis</v>
      </c>
      <c r="AB69" s="111" t="str">
        <f>IF(HLOOKUP(AB$6,CHARMS!$A$6:$CQ$89,46,)&lt;&gt;0,HLOOKUP(AB$6,CHARMS!$A$6:$CQ$89,46,),"")</f>
        <v>Complete-case analysis</v>
      </c>
      <c r="AC69" s="111" t="str">
        <f>IF(HLOOKUP(AC$6,CHARMS!$A$6:$CQ$89,46,)&lt;&gt;0,HLOOKUP(AC$6,CHARMS!$A$6:$CQ$89,46,),"")</f>
        <v>Complete-case analysis</v>
      </c>
      <c r="AD69" s="111" t="str">
        <f>IF(HLOOKUP(AD$6,CHARMS!$A$6:$CQ$89,46,)&lt;&gt;0,HLOOKUP(AD$6,CHARMS!$A$6:$CQ$89,46,),"")</f>
        <v>Complete-case analysis</v>
      </c>
      <c r="AE69" s="111" t="str">
        <f>IF(HLOOKUP(AE$6,CHARMS!$A$6:$CQ$89,46,)&lt;&gt;0,HLOOKUP(AE$6,CHARMS!$A$6:$CQ$89,46,),"")</f>
        <v>Complete-case analysis</v>
      </c>
    </row>
    <row r="70" spans="1:31" s="83" customFormat="1" ht="30" customHeight="1" x14ac:dyDescent="0.3">
      <c r="A70" s="110" t="s">
        <v>240</v>
      </c>
      <c r="B70" s="111" t="str">
        <f>IF(HLOOKUP(B$6,CHARMS!$A$6:$CQ$89,49,)&lt;&gt;0,HLOOKUP(B$6,CHARMS!$A$6:$CQ$89,49,),"")</f>
        <v>No information</v>
      </c>
      <c r="C70" s="111" t="str">
        <f>IF(HLOOKUP(C$6,CHARMS!$A$6:$CQ$89,49,)&lt;&gt;0,HLOOKUP(C$6,CHARMS!$A$6:$CQ$89,49,),"")</f>
        <v>No information</v>
      </c>
      <c r="D70" s="111" t="str">
        <f>IF(HLOOKUP(D$6,CHARMS!$A$6:$CQ$89,49,)&lt;&gt;0,HLOOKUP(D$6,CHARMS!$A$6:$CQ$89,49,),"")</f>
        <v>No information</v>
      </c>
      <c r="E70" s="111" t="str">
        <f>IF(HLOOKUP(E$6,CHARMS!$A$6:$CQ$89,49,)&lt;&gt;0,HLOOKUP(E$6,CHARMS!$A$6:$CQ$89,49,),"")</f>
        <v>All available predictors</v>
      </c>
      <c r="F70" s="111" t="str">
        <f>IF(HLOOKUP(F$6,CHARMS!$A$6:$CQ$89,49,)&lt;&gt;0,HLOOKUP(F$6,CHARMS!$A$6:$CQ$89,49,),"")</f>
        <v>No information</v>
      </c>
      <c r="G70" s="111" t="str">
        <f>IF(HLOOKUP(G$6,CHARMS!$A$6:$CQ$89,49,)&lt;&gt;0,HLOOKUP(G$6,CHARMS!$A$6:$CQ$89,49,),"")</f>
        <v>Based on prior knowledge</v>
      </c>
      <c r="H70" s="111" t="str">
        <f>IF(HLOOKUP(H$6,CHARMS!$A$6:$CQ$89,49,)&lt;&gt;0,HLOOKUP(H$6,CHARMS!$A$6:$CQ$89,49,),"")</f>
        <v>All available predictors</v>
      </c>
      <c r="I70" s="111" t="str">
        <f>IF(HLOOKUP(I$6,CHARMS!$A$6:$CQ$89,49,)&lt;&gt;0,HLOOKUP(I$6,CHARMS!$A$6:$CQ$89,49,),"")</f>
        <v>Unclear</v>
      </c>
      <c r="J70" s="111" t="str">
        <f>IF(HLOOKUP(J$6,CHARMS!$A$6:$CQ$89,49,)&lt;&gt;0,HLOOKUP(J$6,CHARMS!$A$6:$CQ$89,49,),"")</f>
        <v>Unclear</v>
      </c>
      <c r="K70" s="111" t="str">
        <f>IF(HLOOKUP(K$6,CHARMS!$A$6:$CQ$89,49,)&lt;&gt;0,HLOOKUP(K$6,CHARMS!$A$6:$CQ$89,49,),"")</f>
        <v>Based on prior knowledge</v>
      </c>
      <c r="L70" s="111" t="str">
        <f>IF(HLOOKUP(L$6,CHARMS!$A$6:$CQ$89,49,)&lt;&gt;0,HLOOKUP(L$6,CHARMS!$A$6:$CQ$89,49,),"")</f>
        <v>Based on prior knowledge</v>
      </c>
      <c r="M70" s="111" t="str">
        <f>IF(HLOOKUP(M$6,CHARMS!$A$6:$CQ$89,49,)&lt;&gt;0,HLOOKUP(M$6,CHARMS!$A$6:$CQ$89,49,),"")</f>
        <v>Based on prior knowledge</v>
      </c>
      <c r="N70" s="111" t="str">
        <f>IF(HLOOKUP(N$6,CHARMS!$A$6:$CQ$89,49,)&lt;&gt;0,HLOOKUP(N$6,CHARMS!$A$6:$CQ$89,49,),"")</f>
        <v>Based on prior knowledge</v>
      </c>
      <c r="O70" s="111" t="str">
        <f>IF(HLOOKUP(O$6,CHARMS!$A$6:$CQ$89,49,)&lt;&gt;0,HLOOKUP(O$6,CHARMS!$A$6:$CQ$89,49,),"")</f>
        <v>Based on prior knowledge</v>
      </c>
      <c r="P70" s="111" t="str">
        <f>IF(HLOOKUP(P$6,CHARMS!$A$6:$CQ$89,49,)&lt;&gt;0,HLOOKUP(P$6,CHARMS!$A$6:$CQ$89,49,),"")</f>
        <v>Based on prior knowledge</v>
      </c>
      <c r="Q70" s="111" t="str">
        <f>IF(HLOOKUP(Q$6,CHARMS!$A$6:$CQ$89,49,)&lt;&gt;0,HLOOKUP(Q$6,CHARMS!$A$6:$CQ$89,49,),"")</f>
        <v>Based on prior knowledge</v>
      </c>
      <c r="R70" s="111" t="str">
        <f>IF(HLOOKUP(R$6,CHARMS!$A$6:$CQ$89,49,)&lt;&gt;0,HLOOKUP(R$6,CHARMS!$A$6:$CQ$89,49,),"")</f>
        <v>Based on prior knowledge</v>
      </c>
      <c r="S70" s="111" t="str">
        <f>IF(HLOOKUP(S$6,CHARMS!$A$6:$CQ$89,49,)&lt;&gt;0,HLOOKUP(S$6,CHARMS!$A$6:$CQ$89,49,),"")</f>
        <v>Based on prior knowledge</v>
      </c>
      <c r="T70" s="111" t="str">
        <f>IF(HLOOKUP(T$6,CHARMS!$A$6:$CQ$89,49,)&lt;&gt;0,HLOOKUP(T$6,CHARMS!$A$6:$CQ$89,49,),"")</f>
        <v>Based on prior knowledge</v>
      </c>
      <c r="U70" s="111" t="str">
        <f>IF(HLOOKUP(U$6,CHARMS!$A$6:$CQ$89,49,)&lt;&gt;0,HLOOKUP(U$6,CHARMS!$A$6:$CQ$89,49,),"")</f>
        <v>Based on prior knowledge</v>
      </c>
      <c r="V70" s="111" t="str">
        <f>IF(HLOOKUP(V$6,CHARMS!$A$6:$CQ$89,49,)&lt;&gt;0,HLOOKUP(V$6,CHARMS!$A$6:$CQ$89,49,),"")</f>
        <v>Based on prior knowledge</v>
      </c>
      <c r="W70" s="111" t="str">
        <f>IF(HLOOKUP(W$6,CHARMS!$A$6:$CQ$89,49,)&lt;&gt;0,HLOOKUP(W$6,CHARMS!$A$6:$CQ$89,49,),"")</f>
        <v>Based on prior knowledge</v>
      </c>
      <c r="X70" s="111" t="str">
        <f>IF(HLOOKUP(X$6,CHARMS!$A$6:$CQ$89,49,)&lt;&gt;0,HLOOKUP(X$6,CHARMS!$A$6:$CQ$89,49,),"")</f>
        <v>Based on prior knowledge</v>
      </c>
      <c r="Y70" s="111" t="str">
        <f>IF(HLOOKUP(Y$6,CHARMS!$A$6:$CQ$89,49,)&lt;&gt;0,HLOOKUP(Y$6,CHARMS!$A$6:$CQ$89,49,),"")</f>
        <v>Based on prior knowledge</v>
      </c>
      <c r="Z70" s="111" t="str">
        <f>IF(HLOOKUP(Z$6,CHARMS!$A$6:$CQ$89,49,)&lt;&gt;0,HLOOKUP(Z$6,CHARMS!$A$6:$CQ$89,49,),"")</f>
        <v>Based on prior knowledge</v>
      </c>
      <c r="AA70" s="111" t="str">
        <f>IF(HLOOKUP(AA$6,CHARMS!$A$6:$CQ$89,49,)&lt;&gt;0,HLOOKUP(AA$6,CHARMS!$A$6:$CQ$89,49,),"")</f>
        <v>Based on prior knowledge</v>
      </c>
      <c r="AB70" s="111" t="str">
        <f>IF(HLOOKUP(AB$6,CHARMS!$A$6:$CQ$89,49,)&lt;&gt;0,HLOOKUP(AB$6,CHARMS!$A$6:$CQ$89,49,),"")</f>
        <v>Based on prior knowledge</v>
      </c>
      <c r="AC70" s="111" t="str">
        <f>IF(HLOOKUP(AC$6,CHARMS!$A$6:$CQ$89,49,)&lt;&gt;0,HLOOKUP(AC$6,CHARMS!$A$6:$CQ$89,49,),"")</f>
        <v>Based on prior knowledge</v>
      </c>
      <c r="AD70" s="111" t="str">
        <f>IF(HLOOKUP(AD$6,CHARMS!$A$6:$CQ$89,49,)&lt;&gt;0,HLOOKUP(AD$6,CHARMS!$A$6:$CQ$89,49,),"")</f>
        <v>Based on prior knowledge</v>
      </c>
      <c r="AE70" s="111" t="str">
        <f>IF(HLOOKUP(AE$6,CHARMS!$A$6:$CQ$89,49,)&lt;&gt;0,HLOOKUP(AE$6,CHARMS!$A$6:$CQ$89,49,),"")</f>
        <v>Based on prior knowledge</v>
      </c>
    </row>
    <row r="71" spans="1:31" s="83" customFormat="1" ht="30" customHeight="1" x14ac:dyDescent="0.3">
      <c r="A71" s="110" t="s">
        <v>241</v>
      </c>
      <c r="B71" s="111" t="str">
        <f>IF(HLOOKUP(B$6,CHARMS!$A$6:$CQ$89,72,)&lt;&gt;0,CONCATENATE("Internal: ",CHAR(10),HLOOKUP(B$6,CHARMS!$A$6:$CQ$89,72,)),"")</f>
        <v>Internal: 
No</v>
      </c>
      <c r="C71" s="111" t="str">
        <f>IF(HLOOKUP(C$6,CHARMS!$A$6:$CQ$89,72,)&lt;&gt;0,CONCATENATE("Internal: ",CHAR(10),HLOOKUP(C$6,CHARMS!$A$6:$CQ$89,72,)),"")</f>
        <v>Internal: 
No</v>
      </c>
      <c r="D71" s="111" t="str">
        <f>IF(HLOOKUP(D$6,CHARMS!$A$6:$CQ$89,72,)&lt;&gt;0,CONCATENATE("Internal: ",CHAR(10),HLOOKUP(D$6,CHARMS!$A$6:$CQ$89,72,)),"")</f>
        <v>Internal: 
No</v>
      </c>
      <c r="E71" s="111" t="str">
        <f>IF(HLOOKUP(E$6,CHARMS!$A$6:$CQ$89,72,)&lt;&gt;0,CONCATENATE("Internal: ",CHAR(10),HLOOKUP(E$6,CHARMS!$A$6:$CQ$89,72,)),"")</f>
        <v>Internal: 
No</v>
      </c>
      <c r="F71" s="111" t="str">
        <f>IF(HLOOKUP(F$6,CHARMS!$A$6:$CQ$89,72,)&lt;&gt;0,CONCATENATE("Internal: ",CHAR(10),HLOOKUP(F$6,CHARMS!$A$6:$CQ$89,72,)),"")</f>
        <v>Internal: 
No</v>
      </c>
      <c r="G71" s="111" t="str">
        <f>IF(HLOOKUP(G$6,CHARMS!$A$6:$CQ$89,72,)&lt;&gt;0,CONCATENATE("Internal: ",CHAR(10),HLOOKUP(G$6,CHARMS!$A$6:$CQ$89,72,)),"")</f>
        <v>Internal: 
No</v>
      </c>
      <c r="H71" s="111" t="str">
        <f>IF(HLOOKUP(H$6,CHARMS!$A$6:$CQ$89,72,)&lt;&gt;0,CONCATENATE("Internal: ",CHAR(10),HLOOKUP(H$6,CHARMS!$A$6:$CQ$89,72,)),"")</f>
        <v>Internal: 
No</v>
      </c>
      <c r="I71" s="111" t="str">
        <f>IF(HLOOKUP(I$6,CHARMS!$A$6:$CQ$89,72,)&lt;&gt;0,CONCATENATE("Internal: ",CHAR(10),HLOOKUP(I$6,CHARMS!$A$6:$CQ$89,72,)),"")</f>
        <v>Internal: 
No</v>
      </c>
      <c r="J71" s="111" t="str">
        <f>IF(HLOOKUP(J$6,CHARMS!$A$6:$CQ$89,72,)&lt;&gt;0,CONCATENATE("Internal: ",CHAR(10),HLOOKUP(J$6,CHARMS!$A$6:$CQ$89,72,)),"")</f>
        <v>Internal: 
No</v>
      </c>
      <c r="K71" s="111" t="str">
        <f>IF(HLOOKUP(K$6,CHARMS!$A$6:$CQ$89,72,)&lt;&gt;0,CONCATENATE("Internal: ",CHAR(10),HLOOKUP(K$6,CHARMS!$A$6:$CQ$89,72,)),"")</f>
        <v>Internal: 
No</v>
      </c>
      <c r="L71" s="111" t="str">
        <f>IF(HLOOKUP(L$6,CHARMS!$A$6:$CQ$89,72,)&lt;&gt;0,CONCATENATE("Internal: ",CHAR(10),HLOOKUP(L$6,CHARMS!$A$6:$CQ$89,72,)),"")</f>
        <v>Internal: 
No</v>
      </c>
      <c r="M71" s="111" t="str">
        <f>IF(HLOOKUP(M$6,CHARMS!$A$6:$CQ$89,72,)&lt;&gt;0,CONCATENATE("Internal: ",CHAR(10),HLOOKUP(M$6,CHARMS!$A$6:$CQ$89,72,)),"")</f>
        <v>Internal: 
No</v>
      </c>
      <c r="N71" s="111" t="str">
        <f>IF(HLOOKUP(N$6,CHARMS!$A$6:$CQ$89,72,)&lt;&gt;0,CONCATENATE("Internal: ",CHAR(10),HLOOKUP(N$6,CHARMS!$A$6:$CQ$89,72,)),"")</f>
        <v>Internal: 
No</v>
      </c>
      <c r="O71" s="111" t="str">
        <f>IF(HLOOKUP(O$6,CHARMS!$A$6:$CQ$89,72,)&lt;&gt;0,CONCATENATE("Internal: ",CHAR(10),HLOOKUP(O$6,CHARMS!$A$6:$CQ$89,72,)),"")</f>
        <v>Internal: 
No</v>
      </c>
      <c r="P71" s="111" t="str">
        <f>IF(HLOOKUP(P$6,CHARMS!$A$6:$CQ$89,72,)&lt;&gt;0,CONCATENATE("Internal: ",CHAR(10),HLOOKUP(P$6,CHARMS!$A$6:$CQ$89,72,)),"")</f>
        <v>Internal: 
No</v>
      </c>
      <c r="Q71" s="111" t="str">
        <f>IF(HLOOKUP(Q$6,CHARMS!$A$6:$CQ$89,72,)&lt;&gt;0,CONCATENATE("Internal: ",CHAR(10),HLOOKUP(Q$6,CHARMS!$A$6:$CQ$89,72,)),"")</f>
        <v>Internal: 
No</v>
      </c>
      <c r="R71" s="111" t="str">
        <f>IF(HLOOKUP(R$6,CHARMS!$A$6:$CQ$89,72,)&lt;&gt;0,CONCATENATE("Internal: ",CHAR(10),HLOOKUP(R$6,CHARMS!$A$6:$CQ$89,72,)),"")</f>
        <v>Internal: 
No</v>
      </c>
      <c r="S71" s="111" t="str">
        <f>IF(HLOOKUP(S$6,CHARMS!$A$6:$CQ$89,72,)&lt;&gt;0,CONCATENATE("Internal: ",CHAR(10),HLOOKUP(S$6,CHARMS!$A$6:$CQ$89,72,)),"")</f>
        <v>Internal: 
No</v>
      </c>
      <c r="T71" s="111" t="str">
        <f>IF(HLOOKUP(T$6,CHARMS!$A$6:$CQ$89,72,)&lt;&gt;0,CONCATENATE("Internal: ",CHAR(10),HLOOKUP(T$6,CHARMS!$A$6:$CQ$89,72,)),"")</f>
        <v>Internal: 
No</v>
      </c>
      <c r="U71" s="111" t="str">
        <f>IF(HLOOKUP(U$6,CHARMS!$A$6:$CQ$89,72,)&lt;&gt;0,CONCATENATE("Internal: ",CHAR(10),HLOOKUP(U$6,CHARMS!$A$6:$CQ$89,72,)),"")</f>
        <v>Internal: 
No</v>
      </c>
      <c r="V71" s="111" t="str">
        <f>IF(HLOOKUP(V$6,CHARMS!$A$6:$CQ$89,72,)&lt;&gt;0,CONCATENATE("Internal: ",CHAR(10),HLOOKUP(V$6,CHARMS!$A$6:$CQ$89,72,)),"")</f>
        <v>Internal: 
No</v>
      </c>
      <c r="W71" s="111" t="str">
        <f>IF(HLOOKUP(W$6,CHARMS!$A$6:$CQ$89,72,)&lt;&gt;0,CONCATENATE("Internal: ",CHAR(10),HLOOKUP(W$6,CHARMS!$A$6:$CQ$89,72,)),"")</f>
        <v>Internal: 
No</v>
      </c>
      <c r="X71" s="111" t="str">
        <f>IF(HLOOKUP(X$6,CHARMS!$A$6:$CQ$89,72,)&lt;&gt;0,CONCATENATE("Internal: ",CHAR(10),HLOOKUP(X$6,CHARMS!$A$6:$CQ$89,72,)),"")</f>
        <v>Internal: 
No</v>
      </c>
      <c r="Y71" s="111" t="str">
        <f>IF(HLOOKUP(Y$6,CHARMS!$A$6:$CQ$89,72,)&lt;&gt;0,CONCATENATE("Internal: ",CHAR(10),HLOOKUP(Y$6,CHARMS!$A$6:$CQ$89,72,)),"")</f>
        <v>Internal: 
No</v>
      </c>
      <c r="Z71" s="111" t="str">
        <f>IF(HLOOKUP(Z$6,CHARMS!$A$6:$CQ$89,72,)&lt;&gt;0,CONCATENATE("Internal: ",CHAR(10),HLOOKUP(Z$6,CHARMS!$A$6:$CQ$89,72,)),"")</f>
        <v>Internal: 
No</v>
      </c>
      <c r="AA71" s="111" t="str">
        <f>IF(HLOOKUP(AA$6,CHARMS!$A$6:$CQ$89,72,)&lt;&gt;0,CONCATENATE("Internal: ",CHAR(10),HLOOKUP(AA$6,CHARMS!$A$6:$CQ$89,72,)),"")</f>
        <v>Internal: 
No</v>
      </c>
      <c r="AB71" s="111" t="str">
        <f>IF(HLOOKUP(AB$6,CHARMS!$A$6:$CQ$89,72,)&lt;&gt;0,CONCATENATE("Internal: ",CHAR(10),HLOOKUP(AB$6,CHARMS!$A$6:$CQ$89,72,)),"")</f>
        <v>Internal: 
No</v>
      </c>
      <c r="AC71" s="111" t="str">
        <f>IF(HLOOKUP(AC$6,CHARMS!$A$6:$CQ$89,72,)&lt;&gt;0,CONCATENATE("Internal: ",CHAR(10),HLOOKUP(AC$6,CHARMS!$A$6:$CQ$89,72,)),"")</f>
        <v>Internal: 
No</v>
      </c>
      <c r="AD71" s="111" t="str">
        <f>IF(HLOOKUP(AD$6,CHARMS!$A$6:$CQ$89,72,)&lt;&gt;0,CONCATENATE("Internal: ",CHAR(10),HLOOKUP(AD$6,CHARMS!$A$6:$CQ$89,72,)),"")</f>
        <v>Internal: 
No</v>
      </c>
      <c r="AE71" s="111" t="str">
        <f>IF(HLOOKUP(AE$6,CHARMS!$A$6:$CQ$89,72,)&lt;&gt;0,CONCATENATE("Internal: ",CHAR(10),HLOOKUP(AE$6,CHARMS!$A$6:$CQ$89,72,)),"")</f>
        <v>Internal: 
No</v>
      </c>
    </row>
    <row r="72" spans="1:31" s="83" customFormat="1" ht="30" customHeight="1" x14ac:dyDescent="0.3">
      <c r="A72" s="110"/>
      <c r="B72" s="111" t="str">
        <f>IF(HLOOKUP(B$6,CHARMS!$A$6:$CQ$89,73,)&lt;&gt;0,CONCATENATE("External: ",CHAR(10),HLOOKUP(B$6,CHARMS!$A$6:$CQ$89,73,)),"")</f>
        <v>External: 
1</v>
      </c>
      <c r="C72" s="111" t="str">
        <f>IF(HLOOKUP(C$6,CHARMS!$A$6:$CQ$89,73,)&lt;&gt;0,CONCATENATE("External: ",CHAR(10),HLOOKUP(C$6,CHARMS!$A$6:$CQ$89,73,)),"")</f>
        <v>External: 
1</v>
      </c>
      <c r="D72" s="111" t="str">
        <f>IF(HLOOKUP(D$6,CHARMS!$A$6:$CQ$89,73,)&lt;&gt;0,CONCATENATE("External: ",CHAR(10),HLOOKUP(D$6,CHARMS!$A$6:$CQ$89,73,)),"")</f>
        <v>External: 
1</v>
      </c>
      <c r="E72" s="111" t="str">
        <f>IF(HLOOKUP(E$6,CHARMS!$A$6:$CQ$89,73,)&lt;&gt;0,CONCATENATE("External: ",CHAR(10),HLOOKUP(E$6,CHARMS!$A$6:$CQ$89,73,)),"")</f>
        <v>External: 
1</v>
      </c>
      <c r="F72" s="111" t="str">
        <f>IF(HLOOKUP(F$6,CHARMS!$A$6:$CQ$89,73,)&lt;&gt;0,CONCATENATE("External: ",CHAR(10),HLOOKUP(F$6,CHARMS!$A$6:$CQ$89,73,)),"")</f>
        <v>External: 
1</v>
      </c>
      <c r="G72" s="111" t="str">
        <f>IF(HLOOKUP(G$6,CHARMS!$A$6:$CQ$89,73,)&lt;&gt;0,CONCATENATE("External: ",CHAR(10),HLOOKUP(G$6,CHARMS!$A$6:$CQ$89,73,)),"")</f>
        <v>External: 
1</v>
      </c>
      <c r="H72" s="111" t="str">
        <f>IF(HLOOKUP(H$6,CHARMS!$A$6:$CQ$89,73,)&lt;&gt;0,CONCATENATE("External: ",CHAR(10),HLOOKUP(H$6,CHARMS!$A$6:$CQ$89,73,)),"")</f>
        <v>External: 
1</v>
      </c>
      <c r="I72" s="111" t="str">
        <f>IF(HLOOKUP(I$6,CHARMS!$A$6:$CQ$89,73,)&lt;&gt;0,CONCATENATE("External: ",CHAR(10),HLOOKUP(I$6,CHARMS!$A$6:$CQ$89,73,)),"")</f>
        <v>External: 
1</v>
      </c>
      <c r="J72" s="111" t="str">
        <f>IF(HLOOKUP(J$6,CHARMS!$A$6:$CQ$89,73,)&lt;&gt;0,CONCATENATE("External: ",CHAR(10),HLOOKUP(J$6,CHARMS!$A$6:$CQ$89,73,)),"")</f>
        <v>External: 
1</v>
      </c>
      <c r="K72" s="111" t="str">
        <f>IF(HLOOKUP(K$6,CHARMS!$A$6:$CQ$89,73,)&lt;&gt;0,CONCATENATE("External: ",CHAR(10),HLOOKUP(K$6,CHARMS!$A$6:$CQ$89,73,)),"")</f>
        <v xml:space="preserve">External: 
</v>
      </c>
      <c r="L72" s="111" t="str">
        <f>IF(HLOOKUP(L$6,CHARMS!$A$6:$CQ$89,73,)&lt;&gt;0,CONCATENATE("External: ",CHAR(10),HLOOKUP(L$6,CHARMS!$A$6:$CQ$89,73,)),"")</f>
        <v xml:space="preserve">External: 
</v>
      </c>
      <c r="M72" s="111" t="str">
        <f>IF(HLOOKUP(M$6,CHARMS!$A$6:$CQ$89,73,)&lt;&gt;0,CONCATENATE("External: ",CHAR(10),HLOOKUP(M$6,CHARMS!$A$6:$CQ$89,73,)),"")</f>
        <v xml:space="preserve">External: 
</v>
      </c>
      <c r="N72" s="111" t="str">
        <f>IF(HLOOKUP(N$6,CHARMS!$A$6:$CQ$89,73,)&lt;&gt;0,CONCATENATE("External: ",CHAR(10),HLOOKUP(N$6,CHARMS!$A$6:$CQ$89,73,)),"")</f>
        <v xml:space="preserve">External: 
</v>
      </c>
      <c r="O72" s="111" t="str">
        <f>IF(HLOOKUP(O$6,CHARMS!$A$6:$CQ$89,73,)&lt;&gt;0,CONCATENATE("External: ",CHAR(10),HLOOKUP(O$6,CHARMS!$A$6:$CQ$89,73,)),"")</f>
        <v xml:space="preserve">External: 
</v>
      </c>
      <c r="P72" s="111" t="str">
        <f>IF(HLOOKUP(P$6,CHARMS!$A$6:$CQ$89,73,)&lt;&gt;0,CONCATENATE("External: ",CHAR(10),HLOOKUP(P$6,CHARMS!$A$6:$CQ$89,73,)),"")</f>
        <v xml:space="preserve">External: 
</v>
      </c>
      <c r="Q72" s="111" t="str">
        <f>IF(HLOOKUP(Q$6,CHARMS!$A$6:$CQ$89,73,)&lt;&gt;0,CONCATENATE("External: ",CHAR(10),HLOOKUP(Q$6,CHARMS!$A$6:$CQ$89,73,)),"")</f>
        <v xml:space="preserve">External: 
</v>
      </c>
      <c r="R72" s="111" t="str">
        <f>IF(HLOOKUP(R$6,CHARMS!$A$6:$CQ$89,73,)&lt;&gt;0,CONCATENATE("External: ",CHAR(10),HLOOKUP(R$6,CHARMS!$A$6:$CQ$89,73,)),"")</f>
        <v xml:space="preserve">External: 
</v>
      </c>
      <c r="S72" s="111" t="str">
        <f>IF(HLOOKUP(S$6,CHARMS!$A$6:$CQ$89,73,)&lt;&gt;0,CONCATENATE("External: ",CHAR(10),HLOOKUP(S$6,CHARMS!$A$6:$CQ$89,73,)),"")</f>
        <v xml:space="preserve">External: 
</v>
      </c>
      <c r="T72" s="111" t="str">
        <f>IF(HLOOKUP(T$6,CHARMS!$A$6:$CQ$89,73,)&lt;&gt;0,CONCATENATE("External: ",CHAR(10),HLOOKUP(T$6,CHARMS!$A$6:$CQ$89,73,)),"")</f>
        <v xml:space="preserve">External: 
</v>
      </c>
      <c r="U72" s="111" t="str">
        <f>IF(HLOOKUP(U$6,CHARMS!$A$6:$CQ$89,73,)&lt;&gt;0,CONCATENATE("External: ",CHAR(10),HLOOKUP(U$6,CHARMS!$A$6:$CQ$89,73,)),"")</f>
        <v xml:space="preserve">External: 
</v>
      </c>
      <c r="V72" s="111" t="str">
        <f>IF(HLOOKUP(V$6,CHARMS!$A$6:$CQ$89,73,)&lt;&gt;0,CONCATENATE("External: ",CHAR(10),HLOOKUP(V$6,CHARMS!$A$6:$CQ$89,73,)),"")</f>
        <v xml:space="preserve">External: 
</v>
      </c>
      <c r="W72" s="111" t="str">
        <f>IF(HLOOKUP(W$6,CHARMS!$A$6:$CQ$89,73,)&lt;&gt;0,CONCATENATE("External: ",CHAR(10),HLOOKUP(W$6,CHARMS!$A$6:$CQ$89,73,)),"")</f>
        <v xml:space="preserve">External: 
</v>
      </c>
      <c r="X72" s="111" t="str">
        <f>IF(HLOOKUP(X$6,CHARMS!$A$6:$CQ$89,73,)&lt;&gt;0,CONCATENATE("External: ",CHAR(10),HLOOKUP(X$6,CHARMS!$A$6:$CQ$89,73,)),"")</f>
        <v xml:space="preserve">External: 
</v>
      </c>
      <c r="Y72" s="111" t="str">
        <f>IF(HLOOKUP(Y$6,CHARMS!$A$6:$CQ$89,73,)&lt;&gt;0,CONCATENATE("External: ",CHAR(10),HLOOKUP(Y$6,CHARMS!$A$6:$CQ$89,73,)),"")</f>
        <v xml:space="preserve">External: 
</v>
      </c>
      <c r="Z72" s="111" t="str">
        <f>IF(HLOOKUP(Z$6,CHARMS!$A$6:$CQ$89,73,)&lt;&gt;0,CONCATENATE("External: ",CHAR(10),HLOOKUP(Z$6,CHARMS!$A$6:$CQ$89,73,)),"")</f>
        <v xml:space="preserve">External: 
</v>
      </c>
      <c r="AA72" s="111" t="str">
        <f>IF(HLOOKUP(AA$6,CHARMS!$A$6:$CQ$89,73,)&lt;&gt;0,CONCATENATE("External: ",CHAR(10),HLOOKUP(AA$6,CHARMS!$A$6:$CQ$89,73,)),"")</f>
        <v xml:space="preserve">External: 
</v>
      </c>
      <c r="AB72" s="111" t="str">
        <f>IF(HLOOKUP(AB$6,CHARMS!$A$6:$CQ$89,73,)&lt;&gt;0,CONCATENATE("External: ",CHAR(10),HLOOKUP(AB$6,CHARMS!$A$6:$CQ$89,73,)),"")</f>
        <v xml:space="preserve">External: 
</v>
      </c>
      <c r="AC72" s="111" t="str">
        <f>IF(HLOOKUP(AC$6,CHARMS!$A$6:$CQ$89,73,)&lt;&gt;0,CONCATENATE("External: ",CHAR(10),HLOOKUP(AC$6,CHARMS!$A$6:$CQ$89,73,)),"")</f>
        <v xml:space="preserve">External: 
</v>
      </c>
      <c r="AD72" s="111" t="str">
        <f>IF(HLOOKUP(AD$6,CHARMS!$A$6:$CQ$89,73,)&lt;&gt;0,CONCATENATE("External: ",CHAR(10),HLOOKUP(AD$6,CHARMS!$A$6:$CQ$89,73,)),"")</f>
        <v xml:space="preserve">External: 
</v>
      </c>
      <c r="AE72" s="111" t="str">
        <f>IF(HLOOKUP(AE$6,CHARMS!$A$6:$CQ$89,73,)&lt;&gt;0,CONCATENATE("External: ",CHAR(10),HLOOKUP(AE$6,CHARMS!$A$6:$CQ$89,73,)),"")</f>
        <v xml:space="preserve">External: 
</v>
      </c>
    </row>
    <row r="73" spans="1:31" s="83" customFormat="1" ht="30" customHeight="1" x14ac:dyDescent="0.3">
      <c r="A73" s="110" t="s">
        <v>242</v>
      </c>
      <c r="B73" s="111" t="str">
        <f>IF(HLOOKUP(B$6,CHARMS!$A$6:$CQ$89,53,)&lt;&gt;"",CONCATENATE("Calibration: ",CHAR(10),HLOOKUP(B$6,CHARMS!$A$6:$CQ$89,53,)),"")</f>
        <v>Calibration: 
Not evaluated</v>
      </c>
      <c r="C73" s="111" t="str">
        <f>IF(HLOOKUP(C$6,CHARMS!$A$6:$CQ$89,53,)&lt;&gt;"",CONCATENATE("Calibration: ",CHAR(10),HLOOKUP(C$6,CHARMS!$A$6:$CQ$89,53,)),"")</f>
        <v>Calibration: 
Not evaluated</v>
      </c>
      <c r="D73" s="111" t="str">
        <f>IF(HLOOKUP(D$6,CHARMS!$A$6:$CQ$89,53,)&lt;&gt;"",CONCATENATE("Calibration: ",CHAR(10),HLOOKUP(D$6,CHARMS!$A$6:$CQ$89,53,)),"")</f>
        <v>Calibration: 
Not evaluated</v>
      </c>
      <c r="E73" s="111" t="str">
        <f>IF(HLOOKUP(E$6,CHARMS!$A$6:$CQ$89,53,)&lt;&gt;"",CONCATENATE("Calibration: ",CHAR(10),HLOOKUP(E$6,CHARMS!$A$6:$CQ$89,53,)),"")</f>
        <v xml:space="preserve">Calibration: 
Calibration plot </v>
      </c>
      <c r="F73" s="111" t="str">
        <f>IF(HLOOKUP(F$6,CHARMS!$A$6:$CQ$89,53,)&lt;&gt;"",CONCATENATE("Calibration: ",CHAR(10),HLOOKUP(F$6,CHARMS!$A$6:$CQ$89,53,)),"")</f>
        <v xml:space="preserve">Calibration: 
Calibration plot / Slope </v>
      </c>
      <c r="G73" s="111" t="str">
        <f>IF(HLOOKUP(G$6,CHARMS!$A$6:$CQ$89,53,)&lt;&gt;"",CONCATENATE("Calibration: ",CHAR(10),HLOOKUP(G$6,CHARMS!$A$6:$CQ$89,53,)),"")</f>
        <v xml:space="preserve">Calibration: 
Calibration plot </v>
      </c>
      <c r="H73" s="111" t="str">
        <f>IF(HLOOKUP(H$6,CHARMS!$A$6:$CQ$89,53,)&lt;&gt;"",CONCATENATE("Calibration: ",CHAR(10),HLOOKUP(H$6,CHARMS!$A$6:$CQ$89,53,)),"")</f>
        <v>Calibration: 
Not evaluated</v>
      </c>
      <c r="I73" s="111" t="str">
        <f>IF(HLOOKUP(I$6,CHARMS!$A$6:$CQ$89,53,)&lt;&gt;"",CONCATENATE("Calibration: ",CHAR(10),HLOOKUP(I$6,CHARMS!$A$6:$CQ$89,53,)),"")</f>
        <v xml:space="preserve">Calibration: 
Calibration plot / HL test </v>
      </c>
      <c r="J73" s="111" t="str">
        <f>IF(HLOOKUP(J$6,CHARMS!$A$6:$CQ$89,53,)&lt;&gt;"",CONCATENATE("Calibration: ",CHAR(10),HLOOKUP(J$6,CHARMS!$A$6:$CQ$89,53,)),"")</f>
        <v xml:space="preserve">Calibration: 
Calibration plot </v>
      </c>
      <c r="K73" s="111" t="str">
        <f>IF(HLOOKUP(K$6,CHARMS!$A$6:$CQ$89,53,)&lt;&gt;"",CONCATENATE("Calibration: ",CHAR(10),HLOOKUP(K$6,CHARMS!$A$6:$CQ$89,53,)),"")</f>
        <v xml:space="preserve">Calibration: 
Calibration plot / Slope / CITL </v>
      </c>
      <c r="L73" s="111" t="str">
        <f>IF(HLOOKUP(L$6,CHARMS!$A$6:$CQ$89,53,)&lt;&gt;"",CONCATENATE("Calibration: ",CHAR(10),HLOOKUP(L$6,CHARMS!$A$6:$CQ$89,53,)),"")</f>
        <v xml:space="preserve">Calibration: 
Calibration plot / Slope / CITL </v>
      </c>
      <c r="M73" s="111" t="str">
        <f>IF(HLOOKUP(M$6,CHARMS!$A$6:$CQ$89,53,)&lt;&gt;"",CONCATENATE("Calibration: ",CHAR(10),HLOOKUP(M$6,CHARMS!$A$6:$CQ$89,53,)),"")</f>
        <v xml:space="preserve">Calibration: 
Calibration plot / Slope / CITL </v>
      </c>
      <c r="N73" s="111" t="str">
        <f>IF(HLOOKUP(N$6,CHARMS!$A$6:$CQ$89,53,)&lt;&gt;"",CONCATENATE("Calibration: ",CHAR(10),HLOOKUP(N$6,CHARMS!$A$6:$CQ$89,53,)),"")</f>
        <v xml:space="preserve">Calibration: 
Calibration plot / Slope / CITL </v>
      </c>
      <c r="O73" s="111" t="str">
        <f>IF(HLOOKUP(O$6,CHARMS!$A$6:$CQ$89,53,)&lt;&gt;"",CONCATENATE("Calibration: ",CHAR(10),HLOOKUP(O$6,CHARMS!$A$6:$CQ$89,53,)),"")</f>
        <v xml:space="preserve">Calibration: 
Calibration plot / Slope / CITL </v>
      </c>
      <c r="P73" s="111" t="str">
        <f>IF(HLOOKUP(P$6,CHARMS!$A$6:$CQ$89,53,)&lt;&gt;"",CONCATENATE("Calibration: ",CHAR(10),HLOOKUP(P$6,CHARMS!$A$6:$CQ$89,53,)),"")</f>
        <v xml:space="preserve">Calibration: 
Calibration plot / Slope / CITL </v>
      </c>
      <c r="Q73" s="111" t="str">
        <f>IF(HLOOKUP(Q$6,CHARMS!$A$6:$CQ$89,53,)&lt;&gt;"",CONCATENATE("Calibration: ",CHAR(10),HLOOKUP(Q$6,CHARMS!$A$6:$CQ$89,53,)),"")</f>
        <v xml:space="preserve">Calibration: 
Calibration plot / Slope / CITL </v>
      </c>
      <c r="R73" s="111" t="str">
        <f>IF(HLOOKUP(R$6,CHARMS!$A$6:$CQ$89,53,)&lt;&gt;"",CONCATENATE("Calibration: ",CHAR(10),HLOOKUP(R$6,CHARMS!$A$6:$CQ$89,53,)),"")</f>
        <v xml:space="preserve">Calibration: 
Calibration plot / Slope / CITL </v>
      </c>
      <c r="S73" s="111" t="str">
        <f>IF(HLOOKUP(S$6,CHARMS!$A$6:$CQ$89,53,)&lt;&gt;"",CONCATENATE("Calibration: ",CHAR(10),HLOOKUP(S$6,CHARMS!$A$6:$CQ$89,53,)),"")</f>
        <v xml:space="preserve">Calibration: 
Calibration plot / Slope / CITL </v>
      </c>
      <c r="T73" s="111" t="str">
        <f>IF(HLOOKUP(T$6,CHARMS!$A$6:$CQ$89,53,)&lt;&gt;"",CONCATENATE("Calibration: ",CHAR(10),HLOOKUP(T$6,CHARMS!$A$6:$CQ$89,53,)),"")</f>
        <v xml:space="preserve">Calibration: 
Calibration plot / Slope / CITL </v>
      </c>
      <c r="U73" s="111" t="str">
        <f>IF(HLOOKUP(U$6,CHARMS!$A$6:$CQ$89,53,)&lt;&gt;"",CONCATENATE("Calibration: ",CHAR(10),HLOOKUP(U$6,CHARMS!$A$6:$CQ$89,53,)),"")</f>
        <v xml:space="preserve">Calibration: 
Calibration plot / Slope / CITL </v>
      </c>
      <c r="V73" s="111" t="str">
        <f>IF(HLOOKUP(V$6,CHARMS!$A$6:$CQ$89,53,)&lt;&gt;"",CONCATENATE("Calibration: ",CHAR(10),HLOOKUP(V$6,CHARMS!$A$6:$CQ$89,53,)),"")</f>
        <v xml:space="preserve">Calibration: 
Calibration plot / Slope / CITL </v>
      </c>
      <c r="W73" s="111" t="str">
        <f>IF(HLOOKUP(W$6,CHARMS!$A$6:$CQ$89,53,)&lt;&gt;"",CONCATENATE("Calibration: ",CHAR(10),HLOOKUP(W$6,CHARMS!$A$6:$CQ$89,53,)),"")</f>
        <v xml:space="preserve">Calibration: 
Calibration plot / Slope / CITL </v>
      </c>
      <c r="X73" s="111" t="str">
        <f>IF(HLOOKUP(X$6,CHARMS!$A$6:$CQ$89,53,)&lt;&gt;"",CONCATENATE("Calibration: ",CHAR(10),HLOOKUP(X$6,CHARMS!$A$6:$CQ$89,53,)),"")</f>
        <v xml:space="preserve">Calibration: 
Calibration plot / Slope / CITL </v>
      </c>
      <c r="Y73" s="111" t="str">
        <f>IF(HLOOKUP(Y$6,CHARMS!$A$6:$CQ$89,53,)&lt;&gt;"",CONCATENATE("Calibration: ",CHAR(10),HLOOKUP(Y$6,CHARMS!$A$6:$CQ$89,53,)),"")</f>
        <v xml:space="preserve">Calibration: 
Calibration plot / Slope / CITL </v>
      </c>
      <c r="Z73" s="111" t="str">
        <f>IF(HLOOKUP(Z$6,CHARMS!$A$6:$CQ$89,53,)&lt;&gt;"",CONCATENATE("Calibration: ",CHAR(10),HLOOKUP(Z$6,CHARMS!$A$6:$CQ$89,53,)),"")</f>
        <v xml:space="preserve">Calibration: 
Calibration plot / Slope / CITL </v>
      </c>
      <c r="AA73" s="111" t="str">
        <f>IF(HLOOKUP(AA$6,CHARMS!$A$6:$CQ$89,53,)&lt;&gt;"",CONCATENATE("Calibration: ",CHAR(10),HLOOKUP(AA$6,CHARMS!$A$6:$CQ$89,53,)),"")</f>
        <v xml:space="preserve">Calibration: 
Calibration plot / Slope / CITL </v>
      </c>
      <c r="AB73" s="111" t="str">
        <f>IF(HLOOKUP(AB$6,CHARMS!$A$6:$CQ$89,53,)&lt;&gt;"",CONCATENATE("Calibration: ",CHAR(10),HLOOKUP(AB$6,CHARMS!$A$6:$CQ$89,53,)),"")</f>
        <v xml:space="preserve">Calibration: 
Calibration plot / Slope / CITL </v>
      </c>
      <c r="AC73" s="111" t="str">
        <f>IF(HLOOKUP(AC$6,CHARMS!$A$6:$CQ$89,53,)&lt;&gt;"",CONCATENATE("Calibration: ",CHAR(10),HLOOKUP(AC$6,CHARMS!$A$6:$CQ$89,53,)),"")</f>
        <v xml:space="preserve">Calibration: 
Calibration plot / Slope / CITL </v>
      </c>
      <c r="AD73" s="111" t="str">
        <f>IF(HLOOKUP(AD$6,CHARMS!$A$6:$CQ$89,53,)&lt;&gt;"",CONCATENATE("Calibration: ",CHAR(10),HLOOKUP(AD$6,CHARMS!$A$6:$CQ$89,53,)),"")</f>
        <v xml:space="preserve">Calibration: 
Calibration plot / Slope / CITL </v>
      </c>
      <c r="AE73" s="111" t="str">
        <f>IF(HLOOKUP(AE$6,CHARMS!$A$6:$CQ$89,53,)&lt;&gt;"",CONCATENATE("Calibration: ",CHAR(10),HLOOKUP(AE$6,CHARMS!$A$6:$CQ$89,53,)),"")</f>
        <v xml:space="preserve">Calibration: 
Calibration plot / Slope / CITL </v>
      </c>
    </row>
    <row r="74" spans="1:31" s="83" customFormat="1" ht="30" customHeight="1" x14ac:dyDescent="0.3">
      <c r="A74" s="110"/>
      <c r="B74" s="111" t="str">
        <f>IF(HLOOKUP(B$6,CHARMS!$A$6:$CQ$89,59,)&lt;&gt;"",CONCATENATE("Discrimination: ",CHAR(10),HLOOKUP(B$6,CHARMS!$A$6:$CQ$89,59,)),"")</f>
        <v xml:space="preserve">Discrimination: 
C-Statistic </v>
      </c>
      <c r="C74" s="111" t="str">
        <f>IF(HLOOKUP(C$6,CHARMS!$A$6:$CQ$89,59,)&lt;&gt;"",CONCATENATE("Discrimination: ",CHAR(10),HLOOKUP(C$6,CHARMS!$A$6:$CQ$89,59,)),"")</f>
        <v xml:space="preserve">Discrimination: 
C-Statistic </v>
      </c>
      <c r="D74" s="111" t="str">
        <f>IF(HLOOKUP(D$6,CHARMS!$A$6:$CQ$89,59,)&lt;&gt;"",CONCATENATE("Discrimination: ",CHAR(10),HLOOKUP(D$6,CHARMS!$A$6:$CQ$89,59,)),"")</f>
        <v xml:space="preserve">Discrimination: 
C-Statistic </v>
      </c>
      <c r="E74" s="111" t="str">
        <f>IF(HLOOKUP(E$6,CHARMS!$A$6:$CQ$89,59,)&lt;&gt;"",CONCATENATE("Discrimination: ",CHAR(10),HLOOKUP(E$6,CHARMS!$A$6:$CQ$89,59,)),"")</f>
        <v xml:space="preserve">Discrimination: 
C-Statistic </v>
      </c>
      <c r="F74" s="111" t="str">
        <f>IF(HLOOKUP(F$6,CHARMS!$A$6:$CQ$89,59,)&lt;&gt;"",CONCATENATE("Discrimination: ",CHAR(10),HLOOKUP(F$6,CHARMS!$A$6:$CQ$89,59,)),"")</f>
        <v xml:space="preserve">Discrimination: 
C-Statistic / AUC graph </v>
      </c>
      <c r="G74" s="111" t="str">
        <f>IF(HLOOKUP(G$6,CHARMS!$A$6:$CQ$89,59,)&lt;&gt;"",CONCATENATE("Discrimination: ",CHAR(10),HLOOKUP(G$6,CHARMS!$A$6:$CQ$89,59,)),"")</f>
        <v xml:space="preserve">Discrimination: 
C-Statistic / AUC graph </v>
      </c>
      <c r="H74" s="111" t="str">
        <f>IF(HLOOKUP(H$6,CHARMS!$A$6:$CQ$89,59,)&lt;&gt;"",CONCATENATE("Discrimination: ",CHAR(10),HLOOKUP(H$6,CHARMS!$A$6:$CQ$89,59,)),"")</f>
        <v xml:space="preserve">Discrimination: 
C-Statistic </v>
      </c>
      <c r="I74" s="111" t="str">
        <f>IF(HLOOKUP(I$6,CHARMS!$A$6:$CQ$89,59,)&lt;&gt;"",CONCATENATE("Discrimination: ",CHAR(10),HLOOKUP(I$6,CHARMS!$A$6:$CQ$89,59,)),"")</f>
        <v xml:space="preserve">Discrimination: 
C-Statistic / AUC graph </v>
      </c>
      <c r="J74" s="111" t="str">
        <f>IF(HLOOKUP(J$6,CHARMS!$A$6:$CQ$89,59,)&lt;&gt;"",CONCATENATE("Discrimination: ",CHAR(10),HLOOKUP(J$6,CHARMS!$A$6:$CQ$89,59,)),"")</f>
        <v xml:space="preserve">Discrimination: 
C-Statistic </v>
      </c>
      <c r="K74" s="111" t="str">
        <f>IF(HLOOKUP(K$6,CHARMS!$A$6:$CQ$89,59,)&lt;&gt;"",CONCATENATE("Discrimination: ",CHAR(10),HLOOKUP(K$6,CHARMS!$A$6:$CQ$89,59,)),"")</f>
        <v xml:space="preserve">Discrimination: 
C-Statistic / AUC graph </v>
      </c>
      <c r="L74" s="111" t="str">
        <f>IF(HLOOKUP(L$6,CHARMS!$A$6:$CQ$89,59,)&lt;&gt;"",CONCATENATE("Discrimination: ",CHAR(10),HLOOKUP(L$6,CHARMS!$A$6:$CQ$89,59,)),"")</f>
        <v xml:space="preserve">Discrimination: 
C-Statistic / AUC graph </v>
      </c>
      <c r="M74" s="111" t="str">
        <f>IF(HLOOKUP(M$6,CHARMS!$A$6:$CQ$89,59,)&lt;&gt;"",CONCATENATE("Discrimination: ",CHAR(10),HLOOKUP(M$6,CHARMS!$A$6:$CQ$89,59,)),"")</f>
        <v xml:space="preserve">Discrimination: 
C-Statistic / AUC graph </v>
      </c>
      <c r="N74" s="111" t="str">
        <f>IF(HLOOKUP(N$6,CHARMS!$A$6:$CQ$89,59,)&lt;&gt;"",CONCATENATE("Discrimination: ",CHAR(10),HLOOKUP(N$6,CHARMS!$A$6:$CQ$89,59,)),"")</f>
        <v xml:space="preserve">Discrimination: 
C-Statistic / AUC graph </v>
      </c>
      <c r="O74" s="111" t="str">
        <f>IF(HLOOKUP(O$6,CHARMS!$A$6:$CQ$89,59,)&lt;&gt;"",CONCATENATE("Discrimination: ",CHAR(10),HLOOKUP(O$6,CHARMS!$A$6:$CQ$89,59,)),"")</f>
        <v xml:space="preserve">Discrimination: 
C-Statistic / AUC graph </v>
      </c>
      <c r="P74" s="111" t="str">
        <f>IF(HLOOKUP(P$6,CHARMS!$A$6:$CQ$89,59,)&lt;&gt;"",CONCATENATE("Discrimination: ",CHAR(10),HLOOKUP(P$6,CHARMS!$A$6:$CQ$89,59,)),"")</f>
        <v xml:space="preserve">Discrimination: 
C-Statistic / AUC graph </v>
      </c>
      <c r="Q74" s="111" t="str">
        <f>IF(HLOOKUP(Q$6,CHARMS!$A$6:$CQ$89,59,)&lt;&gt;"",CONCATENATE("Discrimination: ",CHAR(10),HLOOKUP(Q$6,CHARMS!$A$6:$CQ$89,59,)),"")</f>
        <v xml:space="preserve">Discrimination: 
C-Statistic / AUC graph </v>
      </c>
      <c r="R74" s="111" t="str">
        <f>IF(HLOOKUP(R$6,CHARMS!$A$6:$CQ$89,59,)&lt;&gt;"",CONCATENATE("Discrimination: ",CHAR(10),HLOOKUP(R$6,CHARMS!$A$6:$CQ$89,59,)),"")</f>
        <v xml:space="preserve">Discrimination: 
C-Statistic / AUC graph </v>
      </c>
      <c r="S74" s="111" t="str">
        <f>IF(HLOOKUP(S$6,CHARMS!$A$6:$CQ$89,59,)&lt;&gt;"",CONCATENATE("Discrimination: ",CHAR(10),HLOOKUP(S$6,CHARMS!$A$6:$CQ$89,59,)),"")</f>
        <v xml:space="preserve">Discrimination: 
C-Statistic / AUC graph </v>
      </c>
      <c r="T74" s="111" t="str">
        <f>IF(HLOOKUP(T$6,CHARMS!$A$6:$CQ$89,59,)&lt;&gt;"",CONCATENATE("Discrimination: ",CHAR(10),HLOOKUP(T$6,CHARMS!$A$6:$CQ$89,59,)),"")</f>
        <v xml:space="preserve">Discrimination: 
C-Statistic / AUC graph </v>
      </c>
      <c r="U74" s="111" t="str">
        <f>IF(HLOOKUP(U$6,CHARMS!$A$6:$CQ$89,59,)&lt;&gt;"",CONCATENATE("Discrimination: ",CHAR(10),HLOOKUP(U$6,CHARMS!$A$6:$CQ$89,59,)),"")</f>
        <v xml:space="preserve">Discrimination: 
C-Statistic / AUC graph </v>
      </c>
      <c r="V74" s="111" t="str">
        <f>IF(HLOOKUP(V$6,CHARMS!$A$6:$CQ$89,59,)&lt;&gt;"",CONCATENATE("Discrimination: ",CHAR(10),HLOOKUP(V$6,CHARMS!$A$6:$CQ$89,59,)),"")</f>
        <v xml:space="preserve">Discrimination: 
C-Statistic / AUC graph </v>
      </c>
      <c r="W74" s="111" t="str">
        <f>IF(HLOOKUP(W$6,CHARMS!$A$6:$CQ$89,59,)&lt;&gt;"",CONCATENATE("Discrimination: ",CHAR(10),HLOOKUP(W$6,CHARMS!$A$6:$CQ$89,59,)),"")</f>
        <v xml:space="preserve">Discrimination: 
C-Statistic / AUC graph </v>
      </c>
      <c r="X74" s="111" t="str">
        <f>IF(HLOOKUP(X$6,CHARMS!$A$6:$CQ$89,59,)&lt;&gt;"",CONCATENATE("Discrimination: ",CHAR(10),HLOOKUP(X$6,CHARMS!$A$6:$CQ$89,59,)),"")</f>
        <v xml:space="preserve">Discrimination: 
C-Statistic / AUC graph </v>
      </c>
      <c r="Y74" s="111" t="str">
        <f>IF(HLOOKUP(Y$6,CHARMS!$A$6:$CQ$89,59,)&lt;&gt;"",CONCATENATE("Discrimination: ",CHAR(10),HLOOKUP(Y$6,CHARMS!$A$6:$CQ$89,59,)),"")</f>
        <v xml:space="preserve">Discrimination: 
C-Statistic / AUC graph </v>
      </c>
      <c r="Z74" s="111" t="str">
        <f>IF(HLOOKUP(Z$6,CHARMS!$A$6:$CQ$89,59,)&lt;&gt;"",CONCATENATE("Discrimination: ",CHAR(10),HLOOKUP(Z$6,CHARMS!$A$6:$CQ$89,59,)),"")</f>
        <v xml:space="preserve">Discrimination: 
C-Statistic / AUC graph </v>
      </c>
      <c r="AA74" s="111" t="str">
        <f>IF(HLOOKUP(AA$6,CHARMS!$A$6:$CQ$89,59,)&lt;&gt;"",CONCATENATE("Discrimination: ",CHAR(10),HLOOKUP(AA$6,CHARMS!$A$6:$CQ$89,59,)),"")</f>
        <v xml:space="preserve">Discrimination: 
C-Statistic / AUC graph </v>
      </c>
      <c r="AB74" s="111" t="str">
        <f>IF(HLOOKUP(AB$6,CHARMS!$A$6:$CQ$89,59,)&lt;&gt;"",CONCATENATE("Discrimination: ",CHAR(10),HLOOKUP(AB$6,CHARMS!$A$6:$CQ$89,59,)),"")</f>
        <v xml:space="preserve">Discrimination: 
C-Statistic / AUC graph </v>
      </c>
      <c r="AC74" s="111" t="str">
        <f>IF(HLOOKUP(AC$6,CHARMS!$A$6:$CQ$89,59,)&lt;&gt;"",CONCATENATE("Discrimination: ",CHAR(10),HLOOKUP(AC$6,CHARMS!$A$6:$CQ$89,59,)),"")</f>
        <v xml:space="preserve">Discrimination: 
C-Statistic / AUC graph </v>
      </c>
      <c r="AD74" s="111" t="str">
        <f>IF(HLOOKUP(AD$6,CHARMS!$A$6:$CQ$89,59,)&lt;&gt;"",CONCATENATE("Discrimination: ",CHAR(10),HLOOKUP(AD$6,CHARMS!$A$6:$CQ$89,59,)),"")</f>
        <v xml:space="preserve">Discrimination: 
C-Statistic / AUC graph </v>
      </c>
      <c r="AE74" s="111" t="str">
        <f>IF(HLOOKUP(AE$6,CHARMS!$A$6:$CQ$89,59,)&lt;&gt;"",CONCATENATE("Discrimination: ",CHAR(10),HLOOKUP(AE$6,CHARMS!$A$6:$CQ$89,59,)),"")</f>
        <v xml:space="preserve">Discrimination: 
C-Statistic / AUC graph </v>
      </c>
    </row>
    <row r="75" spans="1:31" s="83" customFormat="1" ht="30" customHeight="1" x14ac:dyDescent="0.3">
      <c r="A75" s="110"/>
      <c r="B75" s="111" t="str">
        <f>IF(HLOOKUP(B$6,CHARMS!$A$6:$CQ$89,66,)&lt;&gt;"",CONCATENATE("Overall: ",CHAR(10),HLOOKUP(B$6,CHARMS!$A$6:$CQ$89,66,)),"")</f>
        <v xml:space="preserve">Overall: 
Brier score </v>
      </c>
      <c r="C75" s="111" t="str">
        <f>IF(HLOOKUP(C$6,CHARMS!$A$6:$CQ$89,66,)&lt;&gt;"",CONCATENATE("Overall: ",CHAR(10),HLOOKUP(C$6,CHARMS!$A$6:$CQ$89,66,)),"")</f>
        <v>Overall: 
Not evaluated</v>
      </c>
      <c r="D75" s="111" t="str">
        <f>IF(HLOOKUP(D$6,CHARMS!$A$6:$CQ$89,66,)&lt;&gt;"",CONCATENATE("Overall: ",CHAR(10),HLOOKUP(D$6,CHARMS!$A$6:$CQ$89,66,)),"")</f>
        <v>Overall: 
Not evaluated</v>
      </c>
      <c r="E75" s="111" t="str">
        <f>IF(HLOOKUP(E$6,CHARMS!$A$6:$CQ$89,66,)&lt;&gt;"",CONCATENATE("Overall: ",CHAR(10),HLOOKUP(E$6,CHARMS!$A$6:$CQ$89,66,)),"")</f>
        <v xml:space="preserve">Overall: 
Brier score </v>
      </c>
      <c r="F75" s="111" t="str">
        <f>IF(HLOOKUP(F$6,CHARMS!$A$6:$CQ$89,66,)&lt;&gt;"",CONCATENATE("Overall: ",CHAR(10),HLOOKUP(F$6,CHARMS!$A$6:$CQ$89,66,)),"")</f>
        <v>Overall: 
Not evaluated</v>
      </c>
      <c r="G75" s="111" t="str">
        <f>IF(HLOOKUP(G$6,CHARMS!$A$6:$CQ$89,66,)&lt;&gt;"",CONCATENATE("Overall: ",CHAR(10),HLOOKUP(G$6,CHARMS!$A$6:$CQ$89,66,)),"")</f>
        <v xml:space="preserve">Overall: 
Brier score </v>
      </c>
      <c r="H75" s="111" t="str">
        <f>IF(HLOOKUP(H$6,CHARMS!$A$6:$CQ$89,66,)&lt;&gt;"",CONCATENATE("Overall: ",CHAR(10),HLOOKUP(H$6,CHARMS!$A$6:$CQ$89,66,)),"")</f>
        <v>Overall: 
Not evaluated</v>
      </c>
      <c r="I75" s="111" t="str">
        <f>IF(HLOOKUP(I$6,CHARMS!$A$6:$CQ$89,66,)&lt;&gt;"",CONCATENATE("Overall: ",CHAR(10),HLOOKUP(I$6,CHARMS!$A$6:$CQ$89,66,)),"")</f>
        <v>Overall: 
Not evaluated</v>
      </c>
      <c r="J75" s="111" t="str">
        <f>IF(HLOOKUP(J$6,CHARMS!$A$6:$CQ$89,66,)&lt;&gt;"",CONCATENATE("Overall: ",CHAR(10),HLOOKUP(J$6,CHARMS!$A$6:$CQ$89,66,)),"")</f>
        <v xml:space="preserve">Overall: 
Brier score </v>
      </c>
      <c r="K75" s="111" t="str">
        <f>IF(HLOOKUP(K$6,CHARMS!$A$6:$CQ$89,66,)&lt;&gt;"",CONCATENATE("Overall: ",CHAR(10),HLOOKUP(K$6,CHARMS!$A$6:$CQ$89,66,)),"")</f>
        <v xml:space="preserve">Overall: 
Brier score </v>
      </c>
      <c r="L75" s="111" t="str">
        <f>IF(HLOOKUP(L$6,CHARMS!$A$6:$CQ$89,66,)&lt;&gt;"",CONCATENATE("Overall: ",CHAR(10),HLOOKUP(L$6,CHARMS!$A$6:$CQ$89,66,)),"")</f>
        <v xml:space="preserve">Overall: 
Brier score </v>
      </c>
      <c r="M75" s="111" t="str">
        <f>IF(HLOOKUP(M$6,CHARMS!$A$6:$CQ$89,66,)&lt;&gt;"",CONCATENATE("Overall: ",CHAR(10),HLOOKUP(M$6,CHARMS!$A$6:$CQ$89,66,)),"")</f>
        <v xml:space="preserve">Overall: 
Brier score </v>
      </c>
      <c r="N75" s="111" t="str">
        <f>IF(HLOOKUP(N$6,CHARMS!$A$6:$CQ$89,66,)&lt;&gt;"",CONCATENATE("Overall: ",CHAR(10),HLOOKUP(N$6,CHARMS!$A$6:$CQ$89,66,)),"")</f>
        <v xml:space="preserve">Overall: 
Brier score </v>
      </c>
      <c r="O75" s="111" t="str">
        <f>IF(HLOOKUP(O$6,CHARMS!$A$6:$CQ$89,66,)&lt;&gt;"",CONCATENATE("Overall: ",CHAR(10),HLOOKUP(O$6,CHARMS!$A$6:$CQ$89,66,)),"")</f>
        <v xml:space="preserve">Overall: 
Brier score </v>
      </c>
      <c r="P75" s="111" t="str">
        <f>IF(HLOOKUP(P$6,CHARMS!$A$6:$CQ$89,66,)&lt;&gt;"",CONCATENATE("Overall: ",CHAR(10),HLOOKUP(P$6,CHARMS!$A$6:$CQ$89,66,)),"")</f>
        <v xml:space="preserve">Overall: 
Brier score </v>
      </c>
      <c r="Q75" s="111" t="str">
        <f>IF(HLOOKUP(Q$6,CHARMS!$A$6:$CQ$89,66,)&lt;&gt;"",CONCATENATE("Overall: ",CHAR(10),HLOOKUP(Q$6,CHARMS!$A$6:$CQ$89,66,)),"")</f>
        <v xml:space="preserve">Overall: 
Brier score </v>
      </c>
      <c r="R75" s="111" t="str">
        <f>IF(HLOOKUP(R$6,CHARMS!$A$6:$CQ$89,66,)&lt;&gt;"",CONCATENATE("Overall: ",CHAR(10),HLOOKUP(R$6,CHARMS!$A$6:$CQ$89,66,)),"")</f>
        <v xml:space="preserve">Overall: 
Brier score </v>
      </c>
      <c r="S75" s="111" t="str">
        <f>IF(HLOOKUP(S$6,CHARMS!$A$6:$CQ$89,66,)&lt;&gt;"",CONCATENATE("Overall: ",CHAR(10),HLOOKUP(S$6,CHARMS!$A$6:$CQ$89,66,)),"")</f>
        <v xml:space="preserve">Overall: 
Brier score </v>
      </c>
      <c r="T75" s="111" t="str">
        <f>IF(HLOOKUP(T$6,CHARMS!$A$6:$CQ$89,66,)&lt;&gt;"",CONCATENATE("Overall: ",CHAR(10),HLOOKUP(T$6,CHARMS!$A$6:$CQ$89,66,)),"")</f>
        <v xml:space="preserve">Overall: 
Brier score </v>
      </c>
      <c r="U75" s="111" t="str">
        <f>IF(HLOOKUP(U$6,CHARMS!$A$6:$CQ$89,66,)&lt;&gt;"",CONCATENATE("Overall: ",CHAR(10),HLOOKUP(U$6,CHARMS!$A$6:$CQ$89,66,)),"")</f>
        <v xml:space="preserve">Overall: 
Brier score </v>
      </c>
      <c r="V75" s="111" t="str">
        <f>IF(HLOOKUP(V$6,CHARMS!$A$6:$CQ$89,66,)&lt;&gt;"",CONCATENATE("Overall: ",CHAR(10),HLOOKUP(V$6,CHARMS!$A$6:$CQ$89,66,)),"")</f>
        <v xml:space="preserve">Overall: 
Brier score </v>
      </c>
      <c r="W75" s="111" t="str">
        <f>IF(HLOOKUP(W$6,CHARMS!$A$6:$CQ$89,66,)&lt;&gt;"",CONCATENATE("Overall: ",CHAR(10),HLOOKUP(W$6,CHARMS!$A$6:$CQ$89,66,)),"")</f>
        <v xml:space="preserve">Overall: 
Brier score </v>
      </c>
      <c r="X75" s="111" t="str">
        <f>IF(HLOOKUP(X$6,CHARMS!$A$6:$CQ$89,66,)&lt;&gt;"",CONCATENATE("Overall: ",CHAR(10),HLOOKUP(X$6,CHARMS!$A$6:$CQ$89,66,)),"")</f>
        <v xml:space="preserve">Overall: 
Brier score </v>
      </c>
      <c r="Y75" s="111" t="str">
        <f>IF(HLOOKUP(Y$6,CHARMS!$A$6:$CQ$89,66,)&lt;&gt;"",CONCATENATE("Overall: ",CHAR(10),HLOOKUP(Y$6,CHARMS!$A$6:$CQ$89,66,)),"")</f>
        <v xml:space="preserve">Overall: 
Brier score </v>
      </c>
      <c r="Z75" s="111" t="str">
        <f>IF(HLOOKUP(Z$6,CHARMS!$A$6:$CQ$89,66,)&lt;&gt;"",CONCATENATE("Overall: ",CHAR(10),HLOOKUP(Z$6,CHARMS!$A$6:$CQ$89,66,)),"")</f>
        <v xml:space="preserve">Overall: 
Brier score </v>
      </c>
      <c r="AA75" s="111" t="str">
        <f>IF(HLOOKUP(AA$6,CHARMS!$A$6:$CQ$89,66,)&lt;&gt;"",CONCATENATE("Overall: ",CHAR(10),HLOOKUP(AA$6,CHARMS!$A$6:$CQ$89,66,)),"")</f>
        <v xml:space="preserve">Overall: 
Brier score </v>
      </c>
      <c r="AB75" s="111" t="str">
        <f>IF(HLOOKUP(AB$6,CHARMS!$A$6:$CQ$89,66,)&lt;&gt;"",CONCATENATE("Overall: ",CHAR(10),HLOOKUP(AB$6,CHARMS!$A$6:$CQ$89,66,)),"")</f>
        <v xml:space="preserve">Overall: 
Brier score </v>
      </c>
      <c r="AC75" s="111" t="str">
        <f>IF(HLOOKUP(AC$6,CHARMS!$A$6:$CQ$89,66,)&lt;&gt;"",CONCATENATE("Overall: ",CHAR(10),HLOOKUP(AC$6,CHARMS!$A$6:$CQ$89,66,)),"")</f>
        <v xml:space="preserve">Overall: 
Brier score </v>
      </c>
      <c r="AD75" s="111" t="str">
        <f>IF(HLOOKUP(AD$6,CHARMS!$A$6:$CQ$89,66,)&lt;&gt;"",CONCATENATE("Overall: ",CHAR(10),HLOOKUP(AD$6,CHARMS!$A$6:$CQ$89,66,)),"")</f>
        <v xml:space="preserve">Overall: 
Brier score </v>
      </c>
      <c r="AE75" s="111" t="str">
        <f>IF(HLOOKUP(AE$6,CHARMS!$A$6:$CQ$89,66,)&lt;&gt;"",CONCATENATE("Overall: ",CHAR(10),HLOOKUP(AE$6,CHARMS!$A$6:$CQ$89,66,)),"")</f>
        <v xml:space="preserve">Overall: 
Brier score </v>
      </c>
    </row>
    <row r="76" spans="1:31" s="83" customFormat="1" ht="15" customHeight="1" x14ac:dyDescent="0.3">
      <c r="A76" s="112" t="s">
        <v>243</v>
      </c>
      <c r="B76" s="113" t="str">
        <f>IF(HLOOKUP(B$6,CHARMS!$A$6:$CQ$89,51,)&lt;&gt;0,HLOOKUP(B$6,CHARMS!$A$6:$CQ$89,51,),"")</f>
        <v>No information</v>
      </c>
      <c r="C76" s="113" t="str">
        <f>IF(HLOOKUP(C$6,CHARMS!$A$6:$CQ$89,51,)&lt;&gt;0,HLOOKUP(C$6,CHARMS!$A$6:$CQ$89,51,),"")</f>
        <v>No information</v>
      </c>
      <c r="D76" s="113" t="str">
        <f>IF(HLOOKUP(D$6,CHARMS!$A$6:$CQ$89,51,)&lt;&gt;0,HLOOKUP(D$6,CHARMS!$A$6:$CQ$89,51,),"")</f>
        <v>No information</v>
      </c>
      <c r="E76" s="113" t="str">
        <f>IF(HLOOKUP(E$6,CHARMS!$A$6:$CQ$89,51,)&lt;&gt;0,HLOOKUP(E$6,CHARMS!$A$6:$CQ$89,51,),"")</f>
        <v>No</v>
      </c>
      <c r="F76" s="113" t="str">
        <f>IF(HLOOKUP(F$6,CHARMS!$A$6:$CQ$89,51,)&lt;&gt;0,HLOOKUP(F$6,CHARMS!$A$6:$CQ$89,51,),"")</f>
        <v>No</v>
      </c>
      <c r="G76" s="113" t="str">
        <f>IF(HLOOKUP(G$6,CHARMS!$A$6:$CQ$89,51,)&lt;&gt;0,HLOOKUP(G$6,CHARMS!$A$6:$CQ$89,51,),"")</f>
        <v>No</v>
      </c>
      <c r="H76" s="113" t="str">
        <f>IF(HLOOKUP(H$6,CHARMS!$A$6:$CQ$89,51,)&lt;&gt;0,HLOOKUP(H$6,CHARMS!$A$6:$CQ$89,51,),"")</f>
        <v>No</v>
      </c>
      <c r="I76" s="113" t="str">
        <f>IF(HLOOKUP(I$6,CHARMS!$A$6:$CQ$89,51,)&lt;&gt;0,HLOOKUP(I$6,CHARMS!$A$6:$CQ$89,51,),"")</f>
        <v>No</v>
      </c>
      <c r="J76" s="113" t="str">
        <f>IF(HLOOKUP(J$6,CHARMS!$A$6:$CQ$89,51,)&lt;&gt;0,HLOOKUP(J$6,CHARMS!$A$6:$CQ$89,51,),"")</f>
        <v>No</v>
      </c>
      <c r="K76" s="113" t="str">
        <f>IF(HLOOKUP(K$6,CHARMS!$A$6:$CQ$89,51,)&lt;&gt;0,HLOOKUP(K$6,CHARMS!$A$6:$CQ$89,51,),"")</f>
        <v>No</v>
      </c>
      <c r="L76" s="113" t="str">
        <f>IF(HLOOKUP(L$6,CHARMS!$A$6:$CQ$89,51,)&lt;&gt;0,HLOOKUP(L$6,CHARMS!$A$6:$CQ$89,51,),"")</f>
        <v>No</v>
      </c>
      <c r="M76" s="113" t="str">
        <f>IF(HLOOKUP(M$6,CHARMS!$A$6:$CQ$89,51,)&lt;&gt;0,HLOOKUP(M$6,CHARMS!$A$6:$CQ$89,51,),"")</f>
        <v>No</v>
      </c>
      <c r="N76" s="113" t="str">
        <f>IF(HLOOKUP(N$6,CHARMS!$A$6:$CQ$89,51,)&lt;&gt;0,HLOOKUP(N$6,CHARMS!$A$6:$CQ$89,51,),"")</f>
        <v>No</v>
      </c>
      <c r="O76" s="113" t="str">
        <f>IF(HLOOKUP(O$6,CHARMS!$A$6:$CQ$89,51,)&lt;&gt;0,HLOOKUP(O$6,CHARMS!$A$6:$CQ$89,51,),"")</f>
        <v>No</v>
      </c>
      <c r="P76" s="113" t="str">
        <f>IF(HLOOKUP(P$6,CHARMS!$A$6:$CQ$89,51,)&lt;&gt;0,HLOOKUP(P$6,CHARMS!$A$6:$CQ$89,51,),"")</f>
        <v>No</v>
      </c>
      <c r="Q76" s="113" t="str">
        <f>IF(HLOOKUP(Q$6,CHARMS!$A$6:$CQ$89,51,)&lt;&gt;0,HLOOKUP(Q$6,CHARMS!$A$6:$CQ$89,51,),"")</f>
        <v>No</v>
      </c>
      <c r="R76" s="113" t="str">
        <f>IF(HLOOKUP(R$6,CHARMS!$A$6:$CQ$89,51,)&lt;&gt;0,HLOOKUP(R$6,CHARMS!$A$6:$CQ$89,51,),"")</f>
        <v>No</v>
      </c>
      <c r="S76" s="113" t="str">
        <f>IF(HLOOKUP(S$6,CHARMS!$A$6:$CQ$89,51,)&lt;&gt;0,HLOOKUP(S$6,CHARMS!$A$6:$CQ$89,51,),"")</f>
        <v>No</v>
      </c>
      <c r="T76" s="113" t="str">
        <f>IF(HLOOKUP(T$6,CHARMS!$A$6:$CQ$89,51,)&lt;&gt;0,HLOOKUP(T$6,CHARMS!$A$6:$CQ$89,51,),"")</f>
        <v>No</v>
      </c>
      <c r="U76" s="113" t="str">
        <f>IF(HLOOKUP(U$6,CHARMS!$A$6:$CQ$89,51,)&lt;&gt;0,HLOOKUP(U$6,CHARMS!$A$6:$CQ$89,51,),"")</f>
        <v>No</v>
      </c>
      <c r="V76" s="113" t="str">
        <f>IF(HLOOKUP(V$6,CHARMS!$A$6:$CQ$89,51,)&lt;&gt;0,HLOOKUP(V$6,CHARMS!$A$6:$CQ$89,51,),"")</f>
        <v>No</v>
      </c>
      <c r="W76" s="113" t="str">
        <f>IF(HLOOKUP(W$6,CHARMS!$A$6:$CQ$89,51,)&lt;&gt;0,HLOOKUP(W$6,CHARMS!$A$6:$CQ$89,51,),"")</f>
        <v>No</v>
      </c>
      <c r="X76" s="113" t="str">
        <f>IF(HLOOKUP(X$6,CHARMS!$A$6:$CQ$89,51,)&lt;&gt;0,HLOOKUP(X$6,CHARMS!$A$6:$CQ$89,51,),"")</f>
        <v>No</v>
      </c>
      <c r="Y76" s="113" t="str">
        <f>IF(HLOOKUP(Y$6,CHARMS!$A$6:$CQ$89,51,)&lt;&gt;0,HLOOKUP(Y$6,CHARMS!$A$6:$CQ$89,51,),"")</f>
        <v>No</v>
      </c>
      <c r="Z76" s="113" t="str">
        <f>IF(HLOOKUP(Z$6,CHARMS!$A$6:$CQ$89,51,)&lt;&gt;0,HLOOKUP(Z$6,CHARMS!$A$6:$CQ$89,51,),"")</f>
        <v>No</v>
      </c>
      <c r="AA76" s="113" t="str">
        <f>IF(HLOOKUP(AA$6,CHARMS!$A$6:$CQ$89,51,)&lt;&gt;0,HLOOKUP(AA$6,CHARMS!$A$6:$CQ$89,51,),"")</f>
        <v>No</v>
      </c>
      <c r="AB76" s="113" t="str">
        <f>IF(HLOOKUP(AB$6,CHARMS!$A$6:$CQ$89,51,)&lt;&gt;0,HLOOKUP(AB$6,CHARMS!$A$6:$CQ$89,51,),"")</f>
        <v>No</v>
      </c>
      <c r="AC76" s="113" t="str">
        <f>IF(HLOOKUP(AC$6,CHARMS!$A$6:$CQ$89,51,)&lt;&gt;0,HLOOKUP(AC$6,CHARMS!$A$6:$CQ$89,51,),"")</f>
        <v>No</v>
      </c>
      <c r="AD76" s="113" t="str">
        <f>IF(HLOOKUP(AD$6,CHARMS!$A$6:$CQ$89,51,)&lt;&gt;0,HLOOKUP(AD$6,CHARMS!$A$6:$CQ$89,51,),"")</f>
        <v>No</v>
      </c>
      <c r="AE76" s="113" t="str">
        <f>IF(HLOOKUP(AE$6,CHARMS!$A$6:$CQ$89,51,)&lt;&gt;0,HLOOKUP(AE$6,CHARMS!$A$6:$CQ$89,51,),"")</f>
        <v>No</v>
      </c>
    </row>
    <row r="77" spans="1:31" s="83" customFormat="1" ht="75" customHeight="1" thickBot="1" x14ac:dyDescent="0.35">
      <c r="A77" s="121" t="s">
        <v>200</v>
      </c>
      <c r="B77" s="31" t="s">
        <v>438</v>
      </c>
      <c r="C77" s="31" t="s">
        <v>244</v>
      </c>
      <c r="D77" s="31" t="s">
        <v>245</v>
      </c>
      <c r="E77" s="31" t="s">
        <v>439</v>
      </c>
      <c r="F77" s="31" t="s">
        <v>440</v>
      </c>
      <c r="G77" s="31" t="s">
        <v>441</v>
      </c>
      <c r="H77" s="31" t="s">
        <v>442</v>
      </c>
      <c r="I77" s="31" t="s">
        <v>443</v>
      </c>
      <c r="J77" s="31"/>
      <c r="K77" s="31" t="s">
        <v>246</v>
      </c>
      <c r="L77" s="31" t="s">
        <v>246</v>
      </c>
      <c r="M77" s="31"/>
      <c r="N77" s="31"/>
      <c r="O77" s="31"/>
      <c r="P77" s="31"/>
      <c r="Q77" s="31"/>
      <c r="R77" s="31"/>
      <c r="S77" s="31"/>
      <c r="T77" s="31"/>
      <c r="U77" s="31"/>
      <c r="V77" s="31"/>
      <c r="W77" s="31"/>
      <c r="X77" s="31"/>
      <c r="Y77" s="31"/>
      <c r="Z77" s="31"/>
      <c r="AA77" s="31"/>
      <c r="AB77" s="31"/>
      <c r="AC77" s="31"/>
      <c r="AD77" s="31"/>
      <c r="AE77" s="31"/>
    </row>
    <row r="78" spans="1:31" x14ac:dyDescent="0.3">
      <c r="A78" s="77"/>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row>
    <row r="80" spans="1:31" hidden="1" x14ac:dyDescent="0.3">
      <c r="B80" s="82" t="e">
        <f>IF(B8="","NA",COUNTBLANK(B8:B12)+COUNTBLANK(B14)+COUNTBLANK(B33:B77)+COUNTBLANK(#REF!)+COUNTBLANK(#REF!)+COUNTBLANK(#REF!)+COUNTBLANK(#REF!)+COUNTBLANK(#REF!)+COUNTBLANK(#REF!)+COUNTBLANK(#REF!)+COUNTBLANK(#REF!)+COUNTBLANK(#REF!))</f>
        <v>#REF!</v>
      </c>
    </row>
  </sheetData>
  <phoneticPr fontId="5" type="noConversion"/>
  <conditionalFormatting sqref="B14:AE15">
    <cfRule type="expression" dxfId="124" priority="52">
      <formula>B14=""</formula>
    </cfRule>
  </conditionalFormatting>
  <conditionalFormatting sqref="B16:AE17">
    <cfRule type="containsText" dxfId="123" priority="36" operator="containsText" text="Unclear">
      <formula>NOT(ISERROR(SEARCH("Unclear",B16)))</formula>
    </cfRule>
    <cfRule type="containsText" dxfId="122" priority="37" operator="containsText" text="High">
      <formula>NOT(ISERROR(SEARCH("High",B16)))</formula>
    </cfRule>
    <cfRule type="containsText" dxfId="121" priority="38" operator="containsText" text="Low">
      <formula>NOT(ISERROR(SEARCH("Low",B16)))</formula>
    </cfRule>
    <cfRule type="expression" dxfId="120" priority="48">
      <formula>AND(B$14&lt;&gt;"",B$15&lt;&gt;"")</formula>
    </cfRule>
  </conditionalFormatting>
  <conditionalFormatting sqref="B27:AE29">
    <cfRule type="expression" dxfId="119" priority="51">
      <formula>B27=""</formula>
    </cfRule>
  </conditionalFormatting>
  <conditionalFormatting sqref="B30:AE31">
    <cfRule type="containsText" dxfId="118" priority="45" operator="containsText" text="Unclear">
      <formula>NOT(ISERROR(SEARCH("Unclear",B30)))</formula>
    </cfRule>
    <cfRule type="containsText" dxfId="117" priority="46" operator="containsText" text="High">
      <formula>NOT(ISERROR(SEARCH("High",B30)))</formula>
    </cfRule>
    <cfRule type="containsText" dxfId="116" priority="47" operator="containsText" text="Low">
      <formula>NOT(ISERROR(SEARCH("Low",B30)))</formula>
    </cfRule>
    <cfRule type="expression" dxfId="115" priority="57">
      <formula>AND(B$27&lt;&gt;"",B$28&lt;&gt;"",B$29&lt;&gt;"")</formula>
    </cfRule>
  </conditionalFormatting>
  <conditionalFormatting sqref="B38:AE43">
    <cfRule type="expression" dxfId="114" priority="50">
      <formula>B38=""</formula>
    </cfRule>
  </conditionalFormatting>
  <conditionalFormatting sqref="B44:AE45">
    <cfRule type="containsText" dxfId="113" priority="42" operator="containsText" text="Unclear">
      <formula>NOT(ISERROR(SEARCH("Unclear",B44)))</formula>
    </cfRule>
    <cfRule type="containsText" dxfId="112" priority="43" operator="containsText" text="High">
      <formula>NOT(ISERROR(SEARCH("High",B44)))</formula>
    </cfRule>
    <cfRule type="containsText" dxfId="111" priority="44" operator="containsText" text="Low">
      <formula>NOT(ISERROR(SEARCH("Low",B44)))</formula>
    </cfRule>
    <cfRule type="expression" dxfId="110" priority="54">
      <formula>AND(B$38&lt;&gt;"",B$39&lt;&gt;"",B$40&lt;&gt;"",B$41&lt;&gt;"",B$42&lt;&gt;"",B$43&lt;&gt;"")</formula>
    </cfRule>
  </conditionalFormatting>
  <conditionalFormatting sqref="B54:AE62">
    <cfRule type="expression" dxfId="109" priority="49">
      <formula>B54=""</formula>
    </cfRule>
  </conditionalFormatting>
  <conditionalFormatting sqref="B63:AE63">
    <cfRule type="containsText" dxfId="108" priority="39" operator="containsText" text="Unclear">
      <formula>NOT(ISERROR(SEARCH("Unclear",B63)))</formula>
    </cfRule>
    <cfRule type="containsText" dxfId="107" priority="40" operator="containsText" text="High">
      <formula>NOT(ISERROR(SEARCH("High",B63)))</formula>
    </cfRule>
    <cfRule type="containsText" dxfId="106" priority="41" operator="containsText" text="Low">
      <formula>NOT(ISERROR(SEARCH("Low",B63)))</formula>
    </cfRule>
    <cfRule type="expression" dxfId="105" priority="53">
      <formula>AND(B$54&lt;&gt;"",B$55&lt;&gt;"",B$56&lt;&gt;"",B$57&lt;&gt;"",B$58&lt;&gt;"",B$59&lt;&gt;"",B$60&lt;&gt;"",B$61&lt;&gt;"",B$62&lt;&gt;"")</formula>
    </cfRule>
  </conditionalFormatting>
  <dataValidations xWindow="83" yWindow="687" count="4">
    <dataValidation type="list" allowBlank="1" showInputMessage="1" showErrorMessage="1" sqref="B17:AE17 B31:AE31 B45:AE45" xr:uid="{9AF75F54-CEE2-494A-96FC-6F72D732276E}">
      <formula1>"Low concern,High concern,Unclear"</formula1>
    </dataValidation>
    <dataValidation type="list" allowBlank="1" showInputMessage="1" showErrorMessage="1" sqref="B63:AE63 B30:AE30 B44:AE44" xr:uid="{A30A811D-A2BA-41F4-AC76-B77C5ACDF944}">
      <formula1>"Low RoB, High RoB, Unclear"</formula1>
    </dataValidation>
    <dataValidation type="list" allowBlank="1" showInputMessage="1" showErrorMessage="1" sqref="B38:AE43 B14:AE15 B27:AE29 B54:AE62" xr:uid="{F05A8AD3-090B-4E00-88B1-BAC9D4ED220B}">
      <formula1>"Yes,Probably Yes,Probably No,No,No Information"</formula1>
    </dataValidation>
    <dataValidation type="list" errorStyle="information" allowBlank="1" showInputMessage="1" showErrorMessage="1" promptTitle="Risk of Bias assessment" prompt="Low RoB: If all answers are &quot;Y&quot; o &quot;PY&quot;. If one or more of the answers is &quot;N&quot; or &quot;PN&quot;, the judgment could still be &quot;Low RoB&quot;. Indicate the reason._x000a_High RoB: If the answer to some questions is &quot;N&quot; or &quot;PN&quot;._x000a_Unclear RoB: If the answer to some question is &quot;NI&quot;" sqref="B16:AE16" xr:uid="{3FB903A7-96F6-4F7C-8484-950C3C4A821C}">
      <formula1>"Low RoB, High RoB, Unclear"</formula1>
    </dataValidation>
  </dataValidations>
  <pageMargins left="0.7" right="0.7" top="0.75" bottom="0.75" header="0.3" footer="0.3"/>
  <pageSetup paperSize="9" orientation="portrait" r:id="rId1"/>
  <ignoredErrors>
    <ignoredError sqref="C8 C9:C12"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F1138FBD-85CE-4C5E-8A30-4B59C35F0899}">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B6:B77</xm:sqref>
        </x14:conditionalFormatting>
        <x14:conditionalFormatting xmlns:xm="http://schemas.microsoft.com/office/excel/2006/main">
          <x14:cfRule type="expression" priority="34" id="{AB04C39C-C708-4AC8-8655-47004978A5B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C6:C77</xm:sqref>
        </x14:conditionalFormatting>
        <x14:conditionalFormatting xmlns:xm="http://schemas.microsoft.com/office/excel/2006/main">
          <x14:cfRule type="expression" priority="33" id="{B332127B-B8E8-495D-A490-89CAD6041F8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D6:D77</xm:sqref>
        </x14:conditionalFormatting>
        <x14:conditionalFormatting xmlns:xm="http://schemas.microsoft.com/office/excel/2006/main">
          <x14:cfRule type="expression" priority="32" id="{ED6D4044-D4DC-45E9-AECE-F8CBBF2FBFCD}">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E6:E77</xm:sqref>
        </x14:conditionalFormatting>
        <x14:conditionalFormatting xmlns:xm="http://schemas.microsoft.com/office/excel/2006/main">
          <x14:cfRule type="expression" priority="31" id="{46BD0346-9EFF-47D6-9312-5B1CA395BD7B}">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F6:F77</xm:sqref>
        </x14:conditionalFormatting>
        <x14:conditionalFormatting xmlns:xm="http://schemas.microsoft.com/office/excel/2006/main">
          <x14:cfRule type="expression" priority="30" id="{7CC7047C-8396-4ECB-A1EF-17CFF80B89A6}">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G6:G77</xm:sqref>
        </x14:conditionalFormatting>
        <x14:conditionalFormatting xmlns:xm="http://schemas.microsoft.com/office/excel/2006/main">
          <x14:cfRule type="expression" priority="29" id="{B5192566-C33B-43E6-9E90-D01765CB18E9}">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H6:H77</xm:sqref>
        </x14:conditionalFormatting>
        <x14:conditionalFormatting xmlns:xm="http://schemas.microsoft.com/office/excel/2006/main">
          <x14:cfRule type="expression" priority="28" id="{66AD938D-7BA9-4856-BC96-8E53A4CE8461}">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I6:I77</xm:sqref>
        </x14:conditionalFormatting>
        <x14:conditionalFormatting xmlns:xm="http://schemas.microsoft.com/office/excel/2006/main">
          <x14:cfRule type="expression" priority="27" id="{F315673B-8560-472E-BD73-CCCE6D9738BC}">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J6:J77</xm:sqref>
        </x14:conditionalFormatting>
        <x14:conditionalFormatting xmlns:xm="http://schemas.microsoft.com/office/excel/2006/main">
          <x14:cfRule type="expression" priority="26" id="{930336B7-0B21-4E78-A19C-44B14648EF8E}">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K6:K77</xm:sqref>
        </x14:conditionalFormatting>
        <x14:conditionalFormatting xmlns:xm="http://schemas.microsoft.com/office/excel/2006/main">
          <x14:cfRule type="expression" priority="25" id="{C88BB34A-9BF8-4717-933D-93D6F82311F5}">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L6:L77</xm:sqref>
        </x14:conditionalFormatting>
        <x14:conditionalFormatting xmlns:xm="http://schemas.microsoft.com/office/excel/2006/main">
          <x14:cfRule type="expression" priority="24" id="{9EDEDB92-ECB7-49CC-BE43-11D21B84A62B}">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M6:M77</xm:sqref>
        </x14:conditionalFormatting>
        <x14:conditionalFormatting xmlns:xm="http://schemas.microsoft.com/office/excel/2006/main">
          <x14:cfRule type="expression" priority="23" id="{20CE8D50-A672-45CC-ACC0-B1557518DD9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N6:N77</xm:sqref>
        </x14:conditionalFormatting>
        <x14:conditionalFormatting xmlns:xm="http://schemas.microsoft.com/office/excel/2006/main">
          <x14:cfRule type="expression" priority="22" id="{AC1AD62A-C33C-46EE-99BE-257EBB411927}">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O6:O77</xm:sqref>
        </x14:conditionalFormatting>
        <x14:conditionalFormatting xmlns:xm="http://schemas.microsoft.com/office/excel/2006/main">
          <x14:cfRule type="expression" priority="21" id="{F325B8D3-0CDF-4EB7-8AC0-7F770E53208B}">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P6:P77</xm:sqref>
        </x14:conditionalFormatting>
        <x14:conditionalFormatting xmlns:xm="http://schemas.microsoft.com/office/excel/2006/main">
          <x14:cfRule type="expression" priority="17" id="{BEEF195B-5621-4939-A838-E3AEF104470D}">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Q6:Q77</xm:sqref>
        </x14:conditionalFormatting>
        <x14:conditionalFormatting xmlns:xm="http://schemas.microsoft.com/office/excel/2006/main">
          <x14:cfRule type="expression" priority="16" id="{EB7B7B71-27F1-4FDB-9906-24807A037E0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R6:R77</xm:sqref>
        </x14:conditionalFormatting>
        <x14:conditionalFormatting xmlns:xm="http://schemas.microsoft.com/office/excel/2006/main">
          <x14:cfRule type="expression" priority="15" id="{C1727DE8-61BF-4652-A3C3-CB2C40FA40A2}">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S6:S77</xm:sqref>
        </x14:conditionalFormatting>
        <x14:conditionalFormatting xmlns:xm="http://schemas.microsoft.com/office/excel/2006/main">
          <x14:cfRule type="expression" priority="13" id="{EC43D5DD-C03F-4307-ACD1-BD3F527A2ED1}">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T6:T77</xm:sqref>
        </x14:conditionalFormatting>
        <x14:conditionalFormatting xmlns:xm="http://schemas.microsoft.com/office/excel/2006/main">
          <x14:cfRule type="expression" priority="12" id="{60546813-FA24-44FF-84A9-6AF712977F1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U6:U77</xm:sqref>
        </x14:conditionalFormatting>
        <x14:conditionalFormatting xmlns:xm="http://schemas.microsoft.com/office/excel/2006/main">
          <x14:cfRule type="expression" priority="11" id="{EE25FA6A-1816-48BC-B8A3-2581AC40771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V6:V77</xm:sqref>
        </x14:conditionalFormatting>
        <x14:conditionalFormatting xmlns:xm="http://schemas.microsoft.com/office/excel/2006/main">
          <x14:cfRule type="expression" priority="10" id="{D1737F1C-B55C-4A1E-971E-46E1B72249D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W6:W77</xm:sqref>
        </x14:conditionalFormatting>
        <x14:conditionalFormatting xmlns:xm="http://schemas.microsoft.com/office/excel/2006/main">
          <x14:cfRule type="expression" priority="9" id="{58BEE699-8D29-446D-88E7-52E6186B0B3C}">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X6:X77</xm:sqref>
        </x14:conditionalFormatting>
        <x14:conditionalFormatting xmlns:xm="http://schemas.microsoft.com/office/excel/2006/main">
          <x14:cfRule type="expression" priority="8" id="{B6780FD1-C30E-49ED-9673-28933F3C11C0}">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Y6:Y77</xm:sqref>
        </x14:conditionalFormatting>
        <x14:conditionalFormatting xmlns:xm="http://schemas.microsoft.com/office/excel/2006/main">
          <x14:cfRule type="expression" priority="7" id="{0B371088-851F-4CBA-8C7A-FF52462482B0}">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Z6:Z77</xm:sqref>
        </x14:conditionalFormatting>
        <x14:conditionalFormatting xmlns:xm="http://schemas.microsoft.com/office/excel/2006/main">
          <x14:cfRule type="expression" priority="6" id="{39CCD632-87D5-4D62-A5F3-CEA4217A011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AA6:AA77</xm:sqref>
        </x14:conditionalFormatting>
        <x14:conditionalFormatting xmlns:xm="http://schemas.microsoft.com/office/excel/2006/main">
          <x14:cfRule type="expression" priority="5" id="{BC50C2C5-58BC-44CA-AB89-C669B2DFB7CF}">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AB6:AB77</xm:sqref>
        </x14:conditionalFormatting>
        <x14:conditionalFormatting xmlns:xm="http://schemas.microsoft.com/office/excel/2006/main">
          <x14:cfRule type="expression" priority="4" id="{6C041A17-4CC4-468F-961D-8B38E4CFD4CC}">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AC6:AC77</xm:sqref>
        </x14:conditionalFormatting>
        <x14:conditionalFormatting xmlns:xm="http://schemas.microsoft.com/office/excel/2006/main">
          <x14:cfRule type="expression" priority="3" id="{92DAA1EA-171C-4BEC-A7D8-7F9929DD75F4}">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AD6:AD77</xm:sqref>
        </x14:conditionalFormatting>
        <x14:conditionalFormatting xmlns:xm="http://schemas.microsoft.com/office/excel/2006/main">
          <x14:cfRule type="expression" priority="2" id="{CE4926C0-F0E5-42E1-9E10-626DFA5F795B}">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AE6:AE77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9" tint="-0.499984740745262"/>
  </sheetPr>
  <dimension ref="A1:T35"/>
  <sheetViews>
    <sheetView topLeftCell="B1" workbookViewId="0">
      <selection activeCell="E9" sqref="E9"/>
    </sheetView>
  </sheetViews>
  <sheetFormatPr defaultColWidth="11.44140625" defaultRowHeight="14.4" x14ac:dyDescent="0.3"/>
  <cols>
    <col min="1" max="1" width="11.44140625" style="122" hidden="1" customWidth="1"/>
    <col min="2" max="6" width="24.21875" style="122" customWidth="1"/>
    <col min="7" max="11" width="15.77734375" style="122" customWidth="1"/>
    <col min="12" max="16384" width="11.44140625" style="122"/>
  </cols>
  <sheetData>
    <row r="1" spans="1:20" x14ac:dyDescent="0.3">
      <c r="K1" s="123"/>
    </row>
    <row r="2" spans="1:20" x14ac:dyDescent="0.3">
      <c r="K2" s="123"/>
    </row>
    <row r="3" spans="1:20" s="124" customFormat="1" ht="15" thickBot="1" x14ac:dyDescent="0.35">
      <c r="B3" s="362" t="s">
        <v>247</v>
      </c>
      <c r="C3" s="363"/>
      <c r="D3" s="363"/>
      <c r="E3" s="363"/>
      <c r="F3" s="363"/>
      <c r="G3" s="363"/>
      <c r="H3" s="363"/>
      <c r="I3" s="363"/>
      <c r="J3" s="363"/>
      <c r="K3" s="364"/>
      <c r="L3" s="126"/>
      <c r="M3" s="126"/>
      <c r="N3" s="126"/>
      <c r="O3" s="126"/>
      <c r="P3" s="126"/>
      <c r="Q3" s="126"/>
      <c r="R3" s="126"/>
      <c r="S3" s="126"/>
      <c r="T3" s="126"/>
    </row>
    <row r="4" spans="1:20" s="127" customFormat="1" ht="11.25" customHeight="1" x14ac:dyDescent="0.25">
      <c r="B4" s="366" t="s">
        <v>248</v>
      </c>
      <c r="C4" s="366" t="s">
        <v>249</v>
      </c>
      <c r="D4" s="366" t="s">
        <v>250</v>
      </c>
      <c r="E4" s="366" t="s">
        <v>197</v>
      </c>
      <c r="F4" s="366" t="s">
        <v>251</v>
      </c>
      <c r="G4" s="365" t="s">
        <v>252</v>
      </c>
      <c r="H4" s="365"/>
      <c r="I4" s="365"/>
      <c r="J4" s="365"/>
      <c r="K4" s="365"/>
      <c r="L4" s="128"/>
      <c r="M4" s="126"/>
      <c r="N4" s="126"/>
      <c r="O4" s="126"/>
      <c r="P4" s="126"/>
      <c r="Q4" s="126"/>
      <c r="R4" s="126"/>
      <c r="S4" s="126"/>
      <c r="T4" s="126"/>
    </row>
    <row r="5" spans="1:20" s="127" customFormat="1" ht="26.25" customHeight="1" x14ac:dyDescent="0.25">
      <c r="B5" s="367"/>
      <c r="C5" s="368"/>
      <c r="D5" s="367"/>
      <c r="E5" s="367"/>
      <c r="F5" s="367"/>
      <c r="G5" s="168" t="str">
        <f>IF(CHARMS!E24="","",CHARMS!E24)</f>
        <v>Age of participants</v>
      </c>
      <c r="H5" s="168" t="str">
        <f>IF(CHARMS!E25="","",CHARMS!E25)</f>
        <v>CAD type</v>
      </c>
      <c r="I5" s="168" t="str">
        <f>IF(CHARMS!E26="","",CHARMS!E26)</f>
        <v>PCI type</v>
      </c>
      <c r="J5" s="168" t="str">
        <f>IF(CHARMS!E27="","",CHARMS!E27)</f>
        <v/>
      </c>
      <c r="K5" s="168" t="str">
        <f>IF(CHARMS!E28="","",CHARMS!E28)</f>
        <v/>
      </c>
      <c r="L5" s="128"/>
      <c r="M5" s="126"/>
      <c r="N5" s="126"/>
      <c r="O5" s="126"/>
      <c r="P5" s="126"/>
      <c r="Q5" s="126"/>
      <c r="R5" s="126"/>
      <c r="S5" s="126"/>
      <c r="T5" s="126"/>
    </row>
    <row r="6" spans="1:20" s="129" customFormat="1" ht="22.5" customHeight="1" x14ac:dyDescent="0.3">
      <c r="A6" s="129" t="str">
        <f>CHARMS!F$6</f>
        <v>Bansal et al., 2020</v>
      </c>
      <c r="B6" s="207" t="str">
        <f>HLOOKUP($A6,CHARMS!$A$6:$CQ$89,1,)</f>
        <v>Bansal et al., 2020</v>
      </c>
      <c r="C6" s="169" t="str">
        <f>HLOOKUP($A6,CHARMS!$A$6:$CQ$89,9,)</f>
        <v>Existing registry</v>
      </c>
      <c r="D6" s="169" t="str">
        <f>HLOOKUP($A6,CHARMS!$A$6:$CQ$89,12,)</f>
        <v>2005-2018</v>
      </c>
      <c r="E6" s="170" t="str">
        <f>HLOOKUP($A6,CHARMS!$A$6:$CQ$89,13,)</f>
        <v>Cleveland Clinic CathPCI</v>
      </c>
      <c r="F6" s="169" t="str">
        <f>HLOOKUP($A6,CHARMS!$A$6:$CQ$89,14,)</f>
        <v>USA</v>
      </c>
      <c r="G6" s="171">
        <f>HLOOKUP($A6,CHARMS!$A$6:$CQ$89,19,)</f>
        <v>77</v>
      </c>
      <c r="H6" s="171" t="str">
        <f>HLOOKUP($A6,CHARMS!$A$6:$CQ$89,20,)</f>
        <v>Acute MI</v>
      </c>
      <c r="I6" s="171" t="str">
        <f>HLOOKUP($A6,CHARMS!$A$6:$CQ$89,21,)</f>
        <v>PCI</v>
      </c>
      <c r="J6" s="171">
        <f>HLOOKUP($A6,CHARMS!$A$6:$CQ$89,22,)</f>
        <v>0</v>
      </c>
      <c r="K6" s="169">
        <f>HLOOKUP($A6,CHARMS!$A$6:$CQ$89,23,)</f>
        <v>0</v>
      </c>
      <c r="L6" s="130"/>
      <c r="M6" s="130"/>
      <c r="N6" s="130"/>
      <c r="O6" s="130"/>
      <c r="P6" s="130"/>
      <c r="Q6" s="130"/>
      <c r="R6" s="130"/>
      <c r="S6" s="130"/>
      <c r="T6" s="130"/>
    </row>
    <row r="7" spans="1:20" s="129" customFormat="1" ht="22.5" customHeight="1" x14ac:dyDescent="0.3">
      <c r="A7" s="129" t="str">
        <f>CHARMS!I$6</f>
        <v>Hamilton et al., 2021</v>
      </c>
      <c r="B7" s="207" t="str">
        <f>HLOOKUP($A7,CHARMS!$A$6:$CQ$89,1,)</f>
        <v>Hamilton et al., 2021</v>
      </c>
      <c r="C7" s="169" t="str">
        <f>HLOOKUP($A7,CHARMS!$A$6:$CQ$89,9,)</f>
        <v>Existing registry</v>
      </c>
      <c r="D7" s="169" t="str">
        <f>HLOOKUP($A7,CHARMS!$A$6:$CQ$89,12,)</f>
        <v>2018-2020</v>
      </c>
      <c r="E7" s="169" t="str">
        <f>HLOOKUP($A7,CHARMS!$A$6:$CQ$89,13,)</f>
        <v>BMC2 registry</v>
      </c>
      <c r="F7" s="169" t="str">
        <f>HLOOKUP($A7,CHARMS!$A$6:$CQ$89,14,)</f>
        <v>USA</v>
      </c>
      <c r="G7" s="169" t="str">
        <f>HLOOKUP($A7,CHARMS!$A$6:$CQ$89,19,)</f>
        <v>NI</v>
      </c>
      <c r="H7" s="169" t="str">
        <f>HLOOKUP($A7,CHARMS!$A$6:$CQ$89,20,)</f>
        <v>NI</v>
      </c>
      <c r="I7" s="169" t="str">
        <f>HLOOKUP($A7,CHARMS!$A$6:$CQ$89,21,)</f>
        <v>PCI</v>
      </c>
      <c r="J7" s="169">
        <f>HLOOKUP($A7,CHARMS!$A$6:$CQ$89,22,)</f>
        <v>0</v>
      </c>
      <c r="K7" s="169">
        <f>HLOOKUP($A7,CHARMS!$A$6:$CQ$89,23,)</f>
        <v>0</v>
      </c>
      <c r="L7" s="130"/>
      <c r="M7" s="130"/>
      <c r="N7" s="130"/>
      <c r="O7" s="130"/>
      <c r="P7" s="130"/>
      <c r="Q7" s="130"/>
      <c r="R7" s="130"/>
      <c r="S7" s="130"/>
      <c r="T7" s="130"/>
    </row>
    <row r="8" spans="1:20" s="129" customFormat="1" ht="22.5" customHeight="1" x14ac:dyDescent="0.3">
      <c r="A8" s="129" t="str">
        <f>CHARMS!L$6</f>
        <v>Hamilton et al., 2022</v>
      </c>
      <c r="B8" s="207" t="str">
        <f>HLOOKUP($A8,CHARMS!$A$6:$CQ$89,1,)</f>
        <v>Hamilton et al., 2022</v>
      </c>
      <c r="C8" s="169" t="str">
        <f>HLOOKUP($A8,CHARMS!$A$6:$CQ$89,9,)</f>
        <v>Existing registry</v>
      </c>
      <c r="D8" s="169" t="str">
        <f>HLOOKUP($A8,CHARMS!$A$6:$CQ$89,12,)</f>
        <v>2018-2020</v>
      </c>
      <c r="E8" s="169" t="str">
        <f>HLOOKUP($A8,CHARMS!$A$6:$CQ$89,13,)</f>
        <v>BMC2 registry</v>
      </c>
      <c r="F8" s="169" t="str">
        <f>HLOOKUP($A8,CHARMS!$A$6:$CQ$89,14,)</f>
        <v>USA</v>
      </c>
      <c r="G8" s="169" t="str">
        <f>HLOOKUP($A8,CHARMS!$A$6:$CQ$89,19,)</f>
        <v>NI</v>
      </c>
      <c r="H8" s="169" t="str">
        <f>HLOOKUP($A8,CHARMS!$A$6:$CQ$89,20,)</f>
        <v>NI</v>
      </c>
      <c r="I8" s="169" t="str">
        <f>HLOOKUP($A8,CHARMS!$A$6:$CQ$89,21,)</f>
        <v>PCI</v>
      </c>
      <c r="J8" s="169">
        <f>HLOOKUP($A8,CHARMS!$A$6:$CQ$89,22,)</f>
        <v>0</v>
      </c>
      <c r="K8" s="169">
        <f>HLOOKUP($A8,CHARMS!$A$6:$CQ$89,23,)</f>
        <v>0</v>
      </c>
      <c r="L8" s="130"/>
      <c r="M8" s="130"/>
      <c r="N8" s="130"/>
      <c r="O8" s="130"/>
      <c r="P8" s="130"/>
      <c r="Q8" s="130"/>
      <c r="R8" s="130"/>
      <c r="S8" s="130"/>
      <c r="T8" s="130"/>
    </row>
    <row r="9" spans="1:20" s="129" customFormat="1" ht="22.5" customHeight="1" x14ac:dyDescent="0.3">
      <c r="A9" s="129" t="str">
        <f>CHARMS!O$6</f>
        <v>Mortazavi et al., 2019</v>
      </c>
      <c r="B9" s="207" t="str">
        <f>HLOOKUP($A9,CHARMS!$A$6:$CQ$89,1,)</f>
        <v>Mortazavi et al., 2019</v>
      </c>
      <c r="C9" s="169" t="str">
        <f>HLOOKUP($A9,CHARMS!$A$6:$CQ$89,9,)</f>
        <v>Existing registry</v>
      </c>
      <c r="D9" s="169" t="str">
        <f>HLOOKUP($A9,CHARMS!$A$6:$CQ$89,12,)</f>
        <v>2015-2017</v>
      </c>
      <c r="E9" s="169" t="str">
        <f>HLOOKUP($A9,CHARMS!$A$6:$CQ$89,13,)</f>
        <v xml:space="preserve"> NCDR Cath PCI 4.4</v>
      </c>
      <c r="F9" s="169" t="str">
        <f>HLOOKUP($A9,CHARMS!$A$6:$CQ$89,14,)</f>
        <v>USA</v>
      </c>
      <c r="G9" s="169" t="str">
        <f>HLOOKUP($A9,CHARMS!$A$6:$CQ$89,19,)</f>
        <v>65 (56-73)</v>
      </c>
      <c r="H9" s="169" t="str">
        <f>HLOOKUP($A9,CHARMS!$A$6:$CQ$89,20,)</f>
        <v>NI</v>
      </c>
      <c r="I9" s="169" t="str">
        <f>HLOOKUP($A9,CHARMS!$A$6:$CQ$89,21,)</f>
        <v>PCI</v>
      </c>
      <c r="J9" s="169">
        <f>HLOOKUP($A9,CHARMS!$A$6:$CQ$89,22,)</f>
        <v>0</v>
      </c>
      <c r="K9" s="169">
        <f>HLOOKUP($A9,CHARMS!$A$6:$CQ$89,23,)</f>
        <v>0</v>
      </c>
      <c r="L9" s="130"/>
      <c r="M9" s="130"/>
      <c r="N9" s="130"/>
      <c r="O9" s="130"/>
      <c r="P9" s="130"/>
      <c r="Q9" s="130"/>
      <c r="R9" s="130"/>
      <c r="S9" s="130"/>
      <c r="T9" s="130"/>
    </row>
    <row r="10" spans="1:20" s="129" customFormat="1" ht="22.5" customHeight="1" x14ac:dyDescent="0.25">
      <c r="A10" s="127" t="str">
        <f>CHARMS!R$6</f>
        <v>Kulkarni et al., 2021</v>
      </c>
      <c r="B10" s="207" t="str">
        <f>HLOOKUP($A10,CHARMS!$A$6:$CQ$89,1,)</f>
        <v>Kulkarni et al., 2021</v>
      </c>
      <c r="C10" s="169" t="str">
        <f>HLOOKUP($A10,CHARMS!$A$6:$CQ$89,9,)</f>
        <v>Existing registry</v>
      </c>
      <c r="D10" s="169" t="str">
        <f>HLOOKUP($A10,CHARMS!$A$6:$CQ$89,12,)</f>
        <v>2009-2018</v>
      </c>
      <c r="E10" s="169" t="str">
        <f>HLOOKUP($A10,CHARMS!$A$6:$CQ$89,13,)</f>
        <v>NCDR Cath PCI for BJC</v>
      </c>
      <c r="F10" s="169" t="str">
        <f>HLOOKUP($A10,CHARMS!$A$6:$CQ$89,14,)</f>
        <v>USA</v>
      </c>
      <c r="G10" s="169" t="str">
        <f>HLOOKUP($A10,CHARMS!$A$6:$CQ$89,19,)</f>
        <v>65.6 (12)</v>
      </c>
      <c r="H10" s="169" t="str">
        <f>HLOOKUP($A10,CHARMS!$A$6:$CQ$89,20,)</f>
        <v>Stable IHD + ACS</v>
      </c>
      <c r="I10" s="169" t="str">
        <f>HLOOKUP($A10,CHARMS!$A$6:$CQ$89,21,)</f>
        <v>PCI</v>
      </c>
      <c r="J10" s="169">
        <f>HLOOKUP($A10,CHARMS!$A$6:$CQ$89,22,)</f>
        <v>0</v>
      </c>
      <c r="K10" s="169">
        <f>HLOOKUP($A10,CHARMS!$A$6:$CQ$89,23,)</f>
        <v>0</v>
      </c>
      <c r="L10" s="130"/>
      <c r="M10" s="130"/>
      <c r="N10" s="130"/>
      <c r="O10" s="130"/>
      <c r="P10" s="130"/>
      <c r="Q10" s="130"/>
      <c r="R10" s="130"/>
      <c r="S10" s="130"/>
      <c r="T10" s="130"/>
    </row>
    <row r="11" spans="1:20" s="129" customFormat="1" ht="22.5" customHeight="1" x14ac:dyDescent="0.25">
      <c r="A11" s="127" t="str">
        <f>CHARMS!U$6</f>
        <v>Niimi et al., 2022</v>
      </c>
      <c r="B11" s="207" t="str">
        <f>HLOOKUP($A11,CHARMS!$A$6:$CQ$89,1,)</f>
        <v>Niimi et al., 2022</v>
      </c>
      <c r="C11" s="169" t="str">
        <f>HLOOKUP($A11,CHARMS!$A$6:$CQ$89,9,)</f>
        <v>Existing registry</v>
      </c>
      <c r="D11" s="169" t="str">
        <f>HLOOKUP($A11,CHARMS!$A$6:$CQ$89,12,)</f>
        <v>2008-2020</v>
      </c>
      <c r="E11" s="169" t="str">
        <f>HLOOKUP($A11,CHARMS!$A$6:$CQ$89,13,)</f>
        <v>JCD-KiCS registry</v>
      </c>
      <c r="F11" s="169" t="str">
        <f>HLOOKUP($A11,CHARMS!$A$6:$CQ$89,14,)</f>
        <v>Japan</v>
      </c>
      <c r="G11" s="169" t="str">
        <f>HLOOKUP($A11,CHARMS!$A$6:$CQ$89,19,)</f>
        <v>70 (62-77)</v>
      </c>
      <c r="H11" s="169" t="str">
        <f>HLOOKUP($A11,CHARMS!$A$6:$CQ$89,20,)</f>
        <v>ACS+SIHD</v>
      </c>
      <c r="I11" s="169" t="str">
        <f>HLOOKUP($A11,CHARMS!$A$6:$CQ$89,21,)</f>
        <v>PCI</v>
      </c>
      <c r="J11" s="169">
        <f>HLOOKUP($A11,CHARMS!$A$6:$CQ$89,22,)</f>
        <v>0</v>
      </c>
      <c r="K11" s="169">
        <f>HLOOKUP($A11,CHARMS!$A$6:$CQ$89,23,)</f>
        <v>0</v>
      </c>
      <c r="L11" s="130"/>
      <c r="M11" s="130"/>
      <c r="N11" s="130"/>
      <c r="O11" s="130"/>
      <c r="P11" s="130"/>
      <c r="Q11" s="130"/>
      <c r="R11" s="130"/>
      <c r="S11" s="130"/>
      <c r="T11" s="130"/>
    </row>
    <row r="12" spans="1:20" s="129" customFormat="1" ht="22.5" customHeight="1" x14ac:dyDescent="0.25">
      <c r="A12" s="127" t="str">
        <f>CHARMS!X$6</f>
        <v>Rayfield et al., 2020</v>
      </c>
      <c r="B12" s="207" t="str">
        <f>HLOOKUP($A12,CHARMS!$A$6:$CQ$89,1,)</f>
        <v>Rayfield et al., 2020</v>
      </c>
      <c r="C12" s="169" t="str">
        <f>HLOOKUP($A12,CHARMS!$A$6:$CQ$89,9,)</f>
        <v>Existing registry</v>
      </c>
      <c r="D12" s="169" t="str">
        <f>HLOOKUP($A12,CHARMS!$A$6:$CQ$89,12,)</f>
        <v>2006-2017</v>
      </c>
      <c r="E12" s="169" t="str">
        <f>HLOOKUP($A12,CHARMS!$A$6:$CQ$89,13,)</f>
        <v>MayoClinic Health Systems</v>
      </c>
      <c r="F12" s="169" t="str">
        <f>HLOOKUP($A12,CHARMS!$A$6:$CQ$89,14,)</f>
        <v>USA</v>
      </c>
      <c r="G12" s="169" t="str">
        <f>HLOOKUP($A12,CHARMS!$A$6:$CQ$89,19,)</f>
        <v>67 (58-77)</v>
      </c>
      <c r="H12" s="169" t="str">
        <f>HLOOKUP($A12,CHARMS!$A$6:$CQ$89,20,)</f>
        <v>2.221 (82)</v>
      </c>
      <c r="I12" s="169" t="str">
        <f>HLOOKUP($A12,CHARMS!$A$6:$CQ$89,21,)</f>
        <v>PCI</v>
      </c>
      <c r="J12" s="169">
        <f>HLOOKUP($A12,CHARMS!$A$6:$CQ$89,22,)</f>
        <v>0</v>
      </c>
      <c r="K12" s="169">
        <f>HLOOKUP($A12,CHARMS!$A$6:$CQ$89,23,)</f>
        <v>0</v>
      </c>
      <c r="L12" s="130"/>
      <c r="M12" s="130"/>
      <c r="N12" s="130"/>
      <c r="O12" s="130"/>
      <c r="P12" s="130"/>
      <c r="Q12" s="130"/>
      <c r="R12" s="130"/>
      <c r="S12" s="130"/>
      <c r="T12" s="130"/>
    </row>
    <row r="13" spans="1:20" s="129" customFormat="1" ht="22.5" customHeight="1" x14ac:dyDescent="0.25">
      <c r="A13" s="127" t="str">
        <f>CHARMS!AA$6</f>
        <v>Zhao et al., 2023</v>
      </c>
      <c r="B13" s="207" t="str">
        <f>HLOOKUP($A13,CHARMS!$A$6:$CQ$89,1,)</f>
        <v>Zhao et al., 2023</v>
      </c>
      <c r="C13" s="169" t="str">
        <f>HLOOKUP($A13,CHARMS!$A$6:$CQ$89,9,)</f>
        <v>Existing registry</v>
      </c>
      <c r="D13" s="169" t="str">
        <f>HLOOKUP($A13,CHARMS!$A$6:$CQ$89,12,)</f>
        <v>2013-2016</v>
      </c>
      <c r="E13" s="169" t="str">
        <f>HLOOKUP($A13,CHARMS!$A$6:$CQ$89,13,)</f>
        <v>CAMI registry</v>
      </c>
      <c r="F13" s="169" t="str">
        <f>HLOOKUP($A13,CHARMS!$A$6:$CQ$89,14,)</f>
        <v>China</v>
      </c>
      <c r="G13" s="169" t="str">
        <f>HLOOKUP($A13,CHARMS!$A$6:$CQ$89,19,)</f>
        <v>60.08 (12.64)</v>
      </c>
      <c r="H13" s="169" t="str">
        <f>HLOOKUP($A13,CHARMS!$A$6:$CQ$89,20,)</f>
        <v>103 (74.6)</v>
      </c>
      <c r="I13" s="169" t="str">
        <f>HLOOKUP($A13,CHARMS!$A$6:$CQ$89,21,)</f>
        <v>PCI</v>
      </c>
      <c r="J13" s="169">
        <f>HLOOKUP($A13,CHARMS!$A$6:$CQ$89,22,)</f>
        <v>0</v>
      </c>
      <c r="K13" s="169">
        <f>HLOOKUP($A13,CHARMS!$A$6:$CQ$89,23,)</f>
        <v>0</v>
      </c>
      <c r="L13" s="130"/>
      <c r="M13" s="130"/>
      <c r="N13" s="130"/>
      <c r="O13" s="130"/>
      <c r="P13" s="130"/>
      <c r="Q13" s="130"/>
      <c r="R13" s="130"/>
      <c r="S13" s="130"/>
      <c r="T13" s="130"/>
    </row>
    <row r="14" spans="1:20" s="129" customFormat="1" ht="22.5" customHeight="1" x14ac:dyDescent="0.25">
      <c r="A14" s="127" t="str">
        <f>CHARMS!AD$6</f>
        <v>Hurley et al., 2021</v>
      </c>
      <c r="B14" s="207" t="str">
        <f>HLOOKUP($A14,CHARMS!$A$6:$CQ$89,1,)</f>
        <v>Hurley et al., 2021</v>
      </c>
      <c r="C14" s="169" t="str">
        <f>HLOOKUP($A14,CHARMS!$A$6:$CQ$89,9,)</f>
        <v>Existing registry</v>
      </c>
      <c r="D14" s="169" t="str">
        <f>HLOOKUP($A14,CHARMS!$A$6:$CQ$89,12,)</f>
        <v>2009-2015</v>
      </c>
      <c r="E14" s="169" t="str">
        <f>HLOOKUP($A14,CHARMS!$A$6:$CQ$89,13,)</f>
        <v>NCDR CathPCI</v>
      </c>
      <c r="F14" s="169" t="str">
        <f>HLOOKUP($A14,CHARMS!$A$6:$CQ$89,14,)</f>
        <v>USA</v>
      </c>
      <c r="G14" s="169" t="str">
        <f>HLOOKUP($A14,CHARMS!$A$6:$CQ$89,19,)</f>
        <v>64.6 (12)</v>
      </c>
      <c r="H14" s="169" t="str">
        <f>HLOOKUP($A14,CHARMS!$A$6:$CQ$89,20,)</f>
        <v>259 (61.1)</v>
      </c>
      <c r="I14" s="169" t="str">
        <f>HLOOKUP($A14,CHARMS!$A$6:$CQ$89,21,)</f>
        <v>PCI</v>
      </c>
      <c r="J14" s="169">
        <f>HLOOKUP($A14,CHARMS!$A$6:$CQ$89,22,)</f>
        <v>0</v>
      </c>
      <c r="K14" s="169">
        <f>HLOOKUP($A14,CHARMS!$A$6:$CQ$89,23,)</f>
        <v>0</v>
      </c>
      <c r="L14" s="130"/>
      <c r="M14" s="130"/>
      <c r="N14" s="130"/>
      <c r="O14" s="130"/>
      <c r="P14" s="130"/>
      <c r="Q14" s="130"/>
      <c r="R14" s="130"/>
      <c r="S14" s="130"/>
      <c r="T14" s="130"/>
    </row>
    <row r="15" spans="1:20" s="129" customFormat="1" ht="22.5" customHeight="1" x14ac:dyDescent="0.25">
      <c r="A15" s="127" t="str">
        <f>CHARMS!AG$6</f>
        <v/>
      </c>
      <c r="B15" s="207" t="str">
        <f>HLOOKUP($A15,CHARMS!$A$6:$CQ$89,1,)</f>
        <v/>
      </c>
      <c r="C15" s="169" t="str">
        <f>HLOOKUP($A15,CHARMS!$A$6:$CQ$89,9,)</f>
        <v>Retrospective cohort</v>
      </c>
      <c r="D15" s="169" t="str">
        <f>HLOOKUP($A15,CHARMS!$A$6:$CQ$89,12,)</f>
        <v>2000 - 2011</v>
      </c>
      <c r="E15" s="169" t="str">
        <f>HLOOKUP($A15,CHARMS!$A$6:$CQ$89,13,)</f>
        <v>Cardiac surgery centers</v>
      </c>
      <c r="F15" s="169" t="str">
        <f>HLOOKUP($A15,CHARMS!$A$6:$CQ$89,14,)</f>
        <v>Spain</v>
      </c>
      <c r="G15" s="169" t="str">
        <f>HLOOKUP($A15,CHARMS!$A$6:$CQ$89,19,)</f>
        <v>58 (15.1)</v>
      </c>
      <c r="H15" s="169" t="str">
        <f>HLOOKUP($A15,CHARMS!$A$6:$CQ$89,20,)</f>
        <v>No information</v>
      </c>
      <c r="I15" s="169" t="str">
        <f>HLOOKUP($A15,CHARMS!$A$6:$CQ$89,21,)</f>
        <v>All</v>
      </c>
      <c r="J15" s="169">
        <f>HLOOKUP($A15,CHARMS!$A$6:$CQ$89,22,)</f>
        <v>0</v>
      </c>
      <c r="K15" s="169">
        <f>HLOOKUP($A15,CHARMS!$A$6:$CQ$89,23,)</f>
        <v>0</v>
      </c>
      <c r="L15" s="130"/>
      <c r="M15" s="130"/>
      <c r="N15" s="130"/>
      <c r="O15" s="130"/>
      <c r="P15" s="130"/>
      <c r="Q15" s="130"/>
      <c r="R15" s="130"/>
      <c r="S15" s="130"/>
      <c r="T15" s="130"/>
    </row>
    <row r="16" spans="1:20" s="127" customFormat="1" ht="22.5" customHeight="1" x14ac:dyDescent="0.25">
      <c r="A16" s="127" t="str">
        <f>CHARMS!AJ$6</f>
        <v/>
      </c>
      <c r="B16" s="207" t="str">
        <f>HLOOKUP($A16,CHARMS!$A$6:$CQ$89,1,)</f>
        <v/>
      </c>
      <c r="C16" s="169" t="str">
        <f>HLOOKUP($A16,CHARMS!$A$6:$CQ$89,9,)</f>
        <v>Retrospective cohort</v>
      </c>
      <c r="D16" s="169" t="str">
        <f>HLOOKUP($A16,CHARMS!$A$6:$CQ$89,12,)</f>
        <v>2000 - 2011</v>
      </c>
      <c r="E16" s="169" t="str">
        <f>HLOOKUP($A16,CHARMS!$A$6:$CQ$89,13,)</f>
        <v>Cardiac surgery centers</v>
      </c>
      <c r="F16" s="169" t="str">
        <f>HLOOKUP($A16,CHARMS!$A$6:$CQ$89,14,)</f>
        <v>Spain</v>
      </c>
      <c r="G16" s="169" t="str">
        <f>HLOOKUP($A16,CHARMS!$A$6:$CQ$89,19,)</f>
        <v>58 (15.1)</v>
      </c>
      <c r="H16" s="169" t="str">
        <f>HLOOKUP($A16,CHARMS!$A$6:$CQ$89,20,)</f>
        <v>No information</v>
      </c>
      <c r="I16" s="169" t="str">
        <f>HLOOKUP($A16,CHARMS!$A$6:$CQ$89,21,)</f>
        <v>All</v>
      </c>
      <c r="J16" s="169">
        <f>HLOOKUP($A16,CHARMS!$A$6:$CQ$89,22,)</f>
        <v>0</v>
      </c>
      <c r="K16" s="169">
        <f>HLOOKUP($A16,CHARMS!$A$6:$CQ$89,23,)</f>
        <v>0</v>
      </c>
      <c r="L16" s="126"/>
      <c r="M16" s="126"/>
      <c r="N16" s="126"/>
      <c r="O16" s="126"/>
      <c r="P16" s="126"/>
      <c r="Q16" s="126"/>
      <c r="R16" s="126"/>
      <c r="S16" s="126"/>
      <c r="T16" s="126"/>
    </row>
    <row r="17" spans="1:20" s="127" customFormat="1" ht="22.5" customHeight="1" x14ac:dyDescent="0.25">
      <c r="A17" s="127" t="str">
        <f>CHARMS!AM$6</f>
        <v/>
      </c>
      <c r="B17" s="207" t="str">
        <f>HLOOKUP($A17,CHARMS!$A$6:$CQ$89,1,)</f>
        <v/>
      </c>
      <c r="C17" s="169" t="str">
        <f>HLOOKUP($A17,CHARMS!$A$6:$CQ$89,9,)</f>
        <v>Retrospective cohort</v>
      </c>
      <c r="D17" s="169" t="str">
        <f>HLOOKUP($A17,CHARMS!$A$6:$CQ$89,12,)</f>
        <v>2000 - 2011</v>
      </c>
      <c r="E17" s="169" t="str">
        <f>HLOOKUP($A17,CHARMS!$A$6:$CQ$89,13,)</f>
        <v>Cardiac surgery centers</v>
      </c>
      <c r="F17" s="169" t="str">
        <f>HLOOKUP($A17,CHARMS!$A$6:$CQ$89,14,)</f>
        <v>Spain</v>
      </c>
      <c r="G17" s="169" t="str">
        <f>HLOOKUP($A17,CHARMS!$A$6:$CQ$89,19,)</f>
        <v>58 (15.1)</v>
      </c>
      <c r="H17" s="169" t="str">
        <f>HLOOKUP($A17,CHARMS!$A$6:$CQ$89,20,)</f>
        <v>No information</v>
      </c>
      <c r="I17" s="169" t="str">
        <f>HLOOKUP($A17,CHARMS!$A$6:$CQ$89,21,)</f>
        <v>All</v>
      </c>
      <c r="J17" s="169">
        <f>HLOOKUP($A17,CHARMS!$A$6:$CQ$89,22,)</f>
        <v>0</v>
      </c>
      <c r="K17" s="169">
        <f>HLOOKUP($A17,CHARMS!$A$6:$CQ$89,23,)</f>
        <v>0</v>
      </c>
      <c r="L17" s="126"/>
      <c r="M17" s="126"/>
      <c r="N17" s="126"/>
      <c r="O17" s="126"/>
      <c r="P17" s="126"/>
      <c r="Q17" s="126"/>
      <c r="R17" s="126"/>
      <c r="S17" s="126"/>
      <c r="T17" s="126"/>
    </row>
    <row r="18" spans="1:20" s="127" customFormat="1" ht="22.5" customHeight="1" x14ac:dyDescent="0.25">
      <c r="A18" s="127" t="str">
        <f>CHARMS!AP$6</f>
        <v/>
      </c>
      <c r="B18" s="207" t="str">
        <f>HLOOKUP($A18,CHARMS!$A$6:$CQ$89,1,)</f>
        <v/>
      </c>
      <c r="C18" s="169" t="str">
        <f>HLOOKUP($A18,CHARMS!$A$6:$CQ$89,9,)</f>
        <v>Retrospective cohort</v>
      </c>
      <c r="D18" s="169" t="str">
        <f>HLOOKUP($A18,CHARMS!$A$6:$CQ$89,12,)</f>
        <v>2000 - 2011</v>
      </c>
      <c r="E18" s="169" t="str">
        <f>HLOOKUP($A18,CHARMS!$A$6:$CQ$89,13,)</f>
        <v>Cardiac surgery centers</v>
      </c>
      <c r="F18" s="169" t="str">
        <f>HLOOKUP($A18,CHARMS!$A$6:$CQ$89,14,)</f>
        <v>Spain</v>
      </c>
      <c r="G18" s="169" t="str">
        <f>HLOOKUP($A18,CHARMS!$A$6:$CQ$89,19,)</f>
        <v>58 (15.1)</v>
      </c>
      <c r="H18" s="169" t="str">
        <f>HLOOKUP($A18,CHARMS!$A$6:$CQ$89,20,)</f>
        <v>No information</v>
      </c>
      <c r="I18" s="169" t="str">
        <f>HLOOKUP($A18,CHARMS!$A$6:$CQ$89,21,)</f>
        <v>All</v>
      </c>
      <c r="J18" s="169">
        <f>HLOOKUP($A18,CHARMS!$A$6:$CQ$89,22,)</f>
        <v>0</v>
      </c>
      <c r="K18" s="169">
        <f>HLOOKUP($A18,CHARMS!$A$6:$CQ$89,23,)</f>
        <v>0</v>
      </c>
      <c r="L18" s="126"/>
      <c r="M18" s="126"/>
      <c r="N18" s="126"/>
      <c r="O18" s="126"/>
      <c r="P18" s="126"/>
      <c r="Q18" s="126"/>
      <c r="R18" s="126"/>
      <c r="S18" s="126"/>
      <c r="T18" s="126"/>
    </row>
    <row r="19" spans="1:20" s="127" customFormat="1" ht="22.5" customHeight="1" x14ac:dyDescent="0.25">
      <c r="A19" s="127" t="str">
        <f>CHARMS!AS$6</f>
        <v/>
      </c>
      <c r="B19" s="207" t="str">
        <f>HLOOKUP($A19,CHARMS!$A$6:$CQ$89,1,)</f>
        <v/>
      </c>
      <c r="C19" s="169" t="str">
        <f>HLOOKUP($A19,CHARMS!$A$6:$CQ$89,9,)</f>
        <v>Retrospective cohort</v>
      </c>
      <c r="D19" s="169" t="str">
        <f>HLOOKUP($A19,CHARMS!$A$6:$CQ$89,12,)</f>
        <v>2000 - 2011</v>
      </c>
      <c r="E19" s="169" t="str">
        <f>HLOOKUP($A19,CHARMS!$A$6:$CQ$89,13,)</f>
        <v>Cardiac surgery centers</v>
      </c>
      <c r="F19" s="169" t="str">
        <f>HLOOKUP($A19,CHARMS!$A$6:$CQ$89,14,)</f>
        <v>Spain</v>
      </c>
      <c r="G19" s="169" t="str">
        <f>HLOOKUP($A19,CHARMS!$A$6:$CQ$89,19,)</f>
        <v>58 (15.1)</v>
      </c>
      <c r="H19" s="169" t="str">
        <f>HLOOKUP($A19,CHARMS!$A$6:$CQ$89,20,)</f>
        <v>No information</v>
      </c>
      <c r="I19" s="169" t="str">
        <f>HLOOKUP($A19,CHARMS!$A$6:$CQ$89,21,)</f>
        <v>All</v>
      </c>
      <c r="J19" s="169">
        <f>HLOOKUP($A19,CHARMS!$A$6:$CQ$89,22,)</f>
        <v>0</v>
      </c>
      <c r="K19" s="169">
        <f>HLOOKUP($A19,CHARMS!$A$6:$CQ$89,23,)</f>
        <v>0</v>
      </c>
      <c r="L19" s="126"/>
      <c r="M19" s="126"/>
      <c r="N19" s="126"/>
      <c r="O19" s="126"/>
      <c r="P19" s="126"/>
      <c r="Q19" s="126"/>
      <c r="R19" s="126"/>
      <c r="S19" s="126"/>
      <c r="T19" s="126"/>
    </row>
    <row r="20" spans="1:20" s="127" customFormat="1" ht="22.5" customHeight="1" x14ac:dyDescent="0.25">
      <c r="A20" s="127" t="str">
        <f>CHARMS!AV$6</f>
        <v/>
      </c>
      <c r="B20" s="207" t="str">
        <f>HLOOKUP($A20,CHARMS!$A$6:$CQ$89,1,)</f>
        <v/>
      </c>
      <c r="C20" s="169" t="str">
        <f>HLOOKUP($A20,CHARMS!$A$6:$CQ$89,9,)</f>
        <v>Retrospective cohort</v>
      </c>
      <c r="D20" s="169" t="str">
        <f>HLOOKUP($A20,CHARMS!$A$6:$CQ$89,12,)</f>
        <v>2000 - 2011</v>
      </c>
      <c r="E20" s="169" t="str">
        <f>HLOOKUP($A20,CHARMS!$A$6:$CQ$89,13,)</f>
        <v>Cardiac surgery centers</v>
      </c>
      <c r="F20" s="169" t="str">
        <f>HLOOKUP($A20,CHARMS!$A$6:$CQ$89,14,)</f>
        <v>Spain</v>
      </c>
      <c r="G20" s="169" t="str">
        <f>HLOOKUP($A20,CHARMS!$A$6:$CQ$89,19,)</f>
        <v>58 (15.1)</v>
      </c>
      <c r="H20" s="169" t="str">
        <f>HLOOKUP($A20,CHARMS!$A$6:$CQ$89,20,)</f>
        <v>No information</v>
      </c>
      <c r="I20" s="169" t="str">
        <f>HLOOKUP($A20,CHARMS!$A$6:$CQ$89,21,)</f>
        <v>All</v>
      </c>
      <c r="J20" s="169">
        <f>HLOOKUP($A20,CHARMS!$A$6:$CQ$89,22,)</f>
        <v>0</v>
      </c>
      <c r="K20" s="169">
        <f>HLOOKUP($A20,CHARMS!$A$6:$CQ$89,23,)</f>
        <v>0</v>
      </c>
      <c r="L20" s="126"/>
      <c r="M20" s="126"/>
      <c r="N20" s="126"/>
      <c r="O20" s="126"/>
      <c r="P20" s="126"/>
      <c r="Q20" s="126"/>
      <c r="R20" s="126"/>
      <c r="S20" s="126"/>
      <c r="T20" s="126"/>
    </row>
    <row r="21" spans="1:20" s="127" customFormat="1" ht="22.5" customHeight="1" x14ac:dyDescent="0.25">
      <c r="A21" s="127" t="str">
        <f>CHARMS!AY$6</f>
        <v/>
      </c>
      <c r="B21" s="207" t="str">
        <f>HLOOKUP($A21,CHARMS!$A$6:$CQ$89,1,)</f>
        <v/>
      </c>
      <c r="C21" s="169" t="str">
        <f>HLOOKUP($A21,CHARMS!$A$6:$CQ$89,9,)</f>
        <v>Retrospective cohort</v>
      </c>
      <c r="D21" s="169" t="str">
        <f>HLOOKUP($A21,CHARMS!$A$6:$CQ$89,12,)</f>
        <v>2000 - 2011</v>
      </c>
      <c r="E21" s="169" t="str">
        <f>HLOOKUP($A21,CHARMS!$A$6:$CQ$89,13,)</f>
        <v>Cardiac surgery centers</v>
      </c>
      <c r="F21" s="169" t="str">
        <f>HLOOKUP($A21,CHARMS!$A$6:$CQ$89,14,)</f>
        <v>Spain</v>
      </c>
      <c r="G21" s="169" t="str">
        <f>HLOOKUP($A21,CHARMS!$A$6:$CQ$89,19,)</f>
        <v>58 (15.1)</v>
      </c>
      <c r="H21" s="169" t="str">
        <f>HLOOKUP($A21,CHARMS!$A$6:$CQ$89,20,)</f>
        <v>No information</v>
      </c>
      <c r="I21" s="169" t="str">
        <f>HLOOKUP($A21,CHARMS!$A$6:$CQ$89,21,)</f>
        <v>All</v>
      </c>
      <c r="J21" s="169">
        <f>HLOOKUP($A21,CHARMS!$A$6:$CQ$89,22,)</f>
        <v>0</v>
      </c>
      <c r="K21" s="169">
        <f>HLOOKUP($A21,CHARMS!$A$6:$CQ$89,23,)</f>
        <v>0</v>
      </c>
      <c r="L21" s="126"/>
      <c r="M21" s="126"/>
      <c r="N21" s="126"/>
      <c r="O21" s="126"/>
      <c r="P21" s="126"/>
      <c r="Q21" s="126"/>
      <c r="R21" s="126"/>
      <c r="S21" s="126"/>
      <c r="T21" s="126"/>
    </row>
    <row r="22" spans="1:20" s="127" customFormat="1" ht="22.5" customHeight="1" x14ac:dyDescent="0.25">
      <c r="A22" s="127" t="str">
        <f>CHARMS!BB$6</f>
        <v/>
      </c>
      <c r="B22" s="207" t="str">
        <f>HLOOKUP($A22,CHARMS!$A$6:$CQ$89,1,)</f>
        <v/>
      </c>
      <c r="C22" s="169" t="str">
        <f>HLOOKUP($A22,CHARMS!$A$6:$CQ$89,9,)</f>
        <v>Retrospective cohort</v>
      </c>
      <c r="D22" s="169" t="str">
        <f>HLOOKUP($A22,CHARMS!$A$6:$CQ$89,12,)</f>
        <v>2000 - 2011</v>
      </c>
      <c r="E22" s="169" t="str">
        <f>HLOOKUP($A22,CHARMS!$A$6:$CQ$89,13,)</f>
        <v>Cardiac surgery centers</v>
      </c>
      <c r="F22" s="169" t="str">
        <f>HLOOKUP($A22,CHARMS!$A$6:$CQ$89,14,)</f>
        <v>Spain</v>
      </c>
      <c r="G22" s="169" t="str">
        <f>HLOOKUP($A22,CHARMS!$A$6:$CQ$89,19,)</f>
        <v>58 (15.1)</v>
      </c>
      <c r="H22" s="169" t="str">
        <f>HLOOKUP($A22,CHARMS!$A$6:$CQ$89,20,)</f>
        <v>No information</v>
      </c>
      <c r="I22" s="169" t="str">
        <f>HLOOKUP($A22,CHARMS!$A$6:$CQ$89,21,)</f>
        <v>All</v>
      </c>
      <c r="J22" s="169">
        <f>HLOOKUP($A22,CHARMS!$A$6:$CQ$89,22,)</f>
        <v>0</v>
      </c>
      <c r="K22" s="169">
        <f>HLOOKUP($A22,CHARMS!$A$6:$CQ$89,23,)</f>
        <v>0</v>
      </c>
      <c r="L22" s="126"/>
      <c r="M22" s="126"/>
      <c r="N22" s="126"/>
      <c r="O22" s="126"/>
      <c r="P22" s="126"/>
      <c r="Q22" s="126"/>
      <c r="R22" s="126"/>
      <c r="S22" s="126"/>
      <c r="T22" s="126"/>
    </row>
    <row r="23" spans="1:20" s="127" customFormat="1" ht="22.5" customHeight="1" x14ac:dyDescent="0.25">
      <c r="A23" s="127" t="str">
        <f>CHARMS!BE$6</f>
        <v/>
      </c>
      <c r="B23" s="207" t="str">
        <f>HLOOKUP($A23,CHARMS!$A$6:$CQ$89,1,)</f>
        <v/>
      </c>
      <c r="C23" s="169" t="str">
        <f>HLOOKUP($A23,CHARMS!$A$6:$CQ$89,9,)</f>
        <v>Retrospective cohort</v>
      </c>
      <c r="D23" s="169" t="str">
        <f>HLOOKUP($A23,CHARMS!$A$6:$CQ$89,12,)</f>
        <v>2000 - 2011</v>
      </c>
      <c r="E23" s="169" t="str">
        <f>HLOOKUP($A23,CHARMS!$A$6:$CQ$89,13,)</f>
        <v>Cardiac surgery centers</v>
      </c>
      <c r="F23" s="169" t="str">
        <f>HLOOKUP($A23,CHARMS!$A$6:$CQ$89,14,)</f>
        <v>Spain</v>
      </c>
      <c r="G23" s="169" t="str">
        <f>HLOOKUP($A23,CHARMS!$A$6:$CQ$89,19,)</f>
        <v>58 (15.1)</v>
      </c>
      <c r="H23" s="169" t="str">
        <f>HLOOKUP($A23,CHARMS!$A$6:$CQ$89,20,)</f>
        <v>No information</v>
      </c>
      <c r="I23" s="169" t="str">
        <f>HLOOKUP($A23,CHARMS!$A$6:$CQ$89,21,)</f>
        <v>All</v>
      </c>
      <c r="J23" s="169">
        <f>HLOOKUP($A23,CHARMS!$A$6:$CQ$89,22,)</f>
        <v>0</v>
      </c>
      <c r="K23" s="169">
        <f>HLOOKUP($A23,CHARMS!$A$6:$CQ$89,23,)</f>
        <v>0</v>
      </c>
      <c r="L23" s="126"/>
      <c r="M23" s="126"/>
      <c r="N23" s="126"/>
      <c r="O23" s="126"/>
      <c r="P23" s="126"/>
      <c r="Q23" s="126"/>
      <c r="R23" s="126"/>
      <c r="S23" s="126"/>
      <c r="T23" s="126"/>
    </row>
    <row r="24" spans="1:20" s="127" customFormat="1" ht="22.5" customHeight="1" x14ac:dyDescent="0.25">
      <c r="A24" s="127" t="str">
        <f>CHARMS!BH$6</f>
        <v/>
      </c>
      <c r="B24" s="207" t="str">
        <f>HLOOKUP($A24,CHARMS!$A$6:$CQ$89,1,)</f>
        <v/>
      </c>
      <c r="C24" s="169" t="str">
        <f>HLOOKUP($A24,CHARMS!$A$6:$CQ$89,9,)</f>
        <v>Retrospective cohort</v>
      </c>
      <c r="D24" s="169" t="str">
        <f>HLOOKUP($A24,CHARMS!$A$6:$CQ$89,12,)</f>
        <v>2000 - 2011</v>
      </c>
      <c r="E24" s="169" t="str">
        <f>HLOOKUP($A24,CHARMS!$A$6:$CQ$89,13,)</f>
        <v>Cardiac surgery centers</v>
      </c>
      <c r="F24" s="169" t="str">
        <f>HLOOKUP($A24,CHARMS!$A$6:$CQ$89,14,)</f>
        <v>Spain</v>
      </c>
      <c r="G24" s="169" t="str">
        <f>HLOOKUP($A24,CHARMS!$A$6:$CQ$89,19,)</f>
        <v>58 (15.1)</v>
      </c>
      <c r="H24" s="169" t="str">
        <f>HLOOKUP($A24,CHARMS!$A$6:$CQ$89,20,)</f>
        <v>No information</v>
      </c>
      <c r="I24" s="169" t="str">
        <f>HLOOKUP($A24,CHARMS!$A$6:$CQ$89,21,)</f>
        <v>All</v>
      </c>
      <c r="J24" s="169">
        <f>HLOOKUP($A24,CHARMS!$A$6:$CQ$89,22,)</f>
        <v>0</v>
      </c>
      <c r="K24" s="169">
        <f>HLOOKUP($A24,CHARMS!$A$6:$CQ$89,23,)</f>
        <v>0</v>
      </c>
      <c r="L24" s="126"/>
      <c r="M24" s="126"/>
      <c r="N24" s="126"/>
      <c r="O24" s="126"/>
      <c r="P24" s="126"/>
      <c r="Q24" s="126"/>
      <c r="R24" s="126"/>
      <c r="S24" s="126"/>
      <c r="T24" s="126"/>
    </row>
    <row r="25" spans="1:20" s="127" customFormat="1" ht="22.5" customHeight="1" x14ac:dyDescent="0.25">
      <c r="A25" s="127" t="str">
        <f>CHARMS!BK$6</f>
        <v/>
      </c>
      <c r="B25" s="207" t="str">
        <f>HLOOKUP($A25,CHARMS!$A$6:$CQ$89,1,)</f>
        <v/>
      </c>
      <c r="C25" s="169" t="str">
        <f>HLOOKUP($A25,CHARMS!$A$6:$CQ$89,9,)</f>
        <v>Retrospective cohort</v>
      </c>
      <c r="D25" s="169" t="str">
        <f>HLOOKUP($A25,CHARMS!$A$6:$CQ$89,12,)</f>
        <v>2000 - 2011</v>
      </c>
      <c r="E25" s="169" t="str">
        <f>HLOOKUP($A25,CHARMS!$A$6:$CQ$89,13,)</f>
        <v>Cardiac surgery centers</v>
      </c>
      <c r="F25" s="169" t="str">
        <f>HLOOKUP($A25,CHARMS!$A$6:$CQ$89,14,)</f>
        <v>Spain</v>
      </c>
      <c r="G25" s="169" t="str">
        <f>HLOOKUP($A25,CHARMS!$A$6:$CQ$89,19,)</f>
        <v>58 (15.1)</v>
      </c>
      <c r="H25" s="169" t="str">
        <f>HLOOKUP($A25,CHARMS!$A$6:$CQ$89,20,)</f>
        <v>No information</v>
      </c>
      <c r="I25" s="169" t="str">
        <f>HLOOKUP($A25,CHARMS!$A$6:$CQ$89,21,)</f>
        <v>All</v>
      </c>
      <c r="J25" s="169">
        <f>HLOOKUP($A25,CHARMS!$A$6:$CQ$89,22,)</f>
        <v>0</v>
      </c>
      <c r="K25" s="169">
        <f>HLOOKUP($A25,CHARMS!$A$6:$CQ$89,23,)</f>
        <v>0</v>
      </c>
      <c r="L25" s="126"/>
      <c r="M25" s="126"/>
      <c r="N25" s="126"/>
      <c r="O25" s="126"/>
      <c r="P25" s="126"/>
      <c r="Q25" s="126"/>
      <c r="R25" s="126"/>
      <c r="S25" s="126"/>
      <c r="T25" s="126"/>
    </row>
    <row r="26" spans="1:20" s="127" customFormat="1" ht="22.5" customHeight="1" x14ac:dyDescent="0.25">
      <c r="A26" s="127" t="str">
        <f>CHARMS!BN$6</f>
        <v/>
      </c>
      <c r="B26" s="207" t="str">
        <f>HLOOKUP($A26,CHARMS!$A$6:$CQ$89,1,)</f>
        <v/>
      </c>
      <c r="C26" s="169" t="str">
        <f>HLOOKUP($A26,CHARMS!$A$6:$CQ$89,9,)</f>
        <v>Retrospective cohort</v>
      </c>
      <c r="D26" s="169" t="str">
        <f>HLOOKUP($A26,CHARMS!$A$6:$CQ$89,12,)</f>
        <v>2000 - 2011</v>
      </c>
      <c r="E26" s="169" t="str">
        <f>HLOOKUP($A26,CHARMS!$A$6:$CQ$89,13,)</f>
        <v>Cardiac surgery centers</v>
      </c>
      <c r="F26" s="169" t="str">
        <f>HLOOKUP($A26,CHARMS!$A$6:$CQ$89,14,)</f>
        <v>Spain</v>
      </c>
      <c r="G26" s="169" t="str">
        <f>HLOOKUP($A26,CHARMS!$A$6:$CQ$89,19,)</f>
        <v>58 (15.1)</v>
      </c>
      <c r="H26" s="169" t="str">
        <f>HLOOKUP($A26,CHARMS!$A$6:$CQ$89,20,)</f>
        <v>No information</v>
      </c>
      <c r="I26" s="169" t="str">
        <f>HLOOKUP($A26,CHARMS!$A$6:$CQ$89,21,)</f>
        <v>All</v>
      </c>
      <c r="J26" s="169">
        <f>HLOOKUP($A26,CHARMS!$A$6:$CQ$89,22,)</f>
        <v>0</v>
      </c>
      <c r="K26" s="169">
        <f>HLOOKUP($A26,CHARMS!$A$6:$CQ$89,23,)</f>
        <v>0</v>
      </c>
      <c r="L26" s="126"/>
      <c r="M26" s="126"/>
      <c r="N26" s="126"/>
      <c r="O26" s="126"/>
      <c r="P26" s="126"/>
      <c r="Q26" s="126"/>
      <c r="R26" s="126"/>
      <c r="S26" s="126"/>
      <c r="T26" s="126"/>
    </row>
    <row r="27" spans="1:20" s="127" customFormat="1" ht="22.5" customHeight="1" x14ac:dyDescent="0.25">
      <c r="A27" s="127" t="str">
        <f>CHARMS!BQ$6</f>
        <v/>
      </c>
      <c r="B27" s="207" t="str">
        <f>HLOOKUP($A27,CHARMS!$A$6:$CQ$89,1,)</f>
        <v/>
      </c>
      <c r="C27" s="169" t="str">
        <f>HLOOKUP($A27,CHARMS!$A$6:$CQ$89,9,)</f>
        <v>Retrospective cohort</v>
      </c>
      <c r="D27" s="169" t="str">
        <f>HLOOKUP($A27,CHARMS!$A$6:$CQ$89,12,)</f>
        <v>2000 - 2011</v>
      </c>
      <c r="E27" s="169" t="str">
        <f>HLOOKUP($A27,CHARMS!$A$6:$CQ$89,13,)</f>
        <v>Cardiac surgery centers</v>
      </c>
      <c r="F27" s="169" t="str">
        <f>HLOOKUP($A27,CHARMS!$A$6:$CQ$89,14,)</f>
        <v>Spain</v>
      </c>
      <c r="G27" s="169" t="str">
        <f>HLOOKUP($A27,CHARMS!$A$6:$CQ$89,19,)</f>
        <v>58 (15.1)</v>
      </c>
      <c r="H27" s="169" t="str">
        <f>HLOOKUP($A27,CHARMS!$A$6:$CQ$89,20,)</f>
        <v>No information</v>
      </c>
      <c r="I27" s="169" t="str">
        <f>HLOOKUP($A27,CHARMS!$A$6:$CQ$89,21,)</f>
        <v>All</v>
      </c>
      <c r="J27" s="169">
        <f>HLOOKUP($A27,CHARMS!$A$6:$CQ$89,22,)</f>
        <v>0</v>
      </c>
      <c r="K27" s="169">
        <f>HLOOKUP($A27,CHARMS!$A$6:$CQ$89,23,)</f>
        <v>0</v>
      </c>
      <c r="L27" s="126"/>
      <c r="M27" s="126"/>
      <c r="N27" s="126"/>
      <c r="O27" s="126"/>
      <c r="P27" s="126"/>
      <c r="Q27" s="126"/>
      <c r="R27" s="126"/>
      <c r="S27" s="126"/>
      <c r="T27" s="126"/>
    </row>
    <row r="28" spans="1:20" s="127" customFormat="1" ht="22.5" customHeight="1" x14ac:dyDescent="0.25">
      <c r="A28" s="127" t="str">
        <f>CHARMS!BT$6</f>
        <v/>
      </c>
      <c r="B28" s="207" t="str">
        <f>HLOOKUP($A28,CHARMS!$A$6:$CQ$89,1,)</f>
        <v/>
      </c>
      <c r="C28" s="169" t="str">
        <f>HLOOKUP($A28,CHARMS!$A$6:$CQ$89,9,)</f>
        <v>Retrospective cohort</v>
      </c>
      <c r="D28" s="169" t="str">
        <f>HLOOKUP($A28,CHARMS!$A$6:$CQ$89,12,)</f>
        <v>2000 - 2011</v>
      </c>
      <c r="E28" s="169" t="str">
        <f>HLOOKUP($A28,CHARMS!$A$6:$CQ$89,13,)</f>
        <v>Cardiac surgery centers</v>
      </c>
      <c r="F28" s="169" t="str">
        <f>HLOOKUP($A28,CHARMS!$A$6:$CQ$89,14,)</f>
        <v>Spain</v>
      </c>
      <c r="G28" s="169" t="str">
        <f>HLOOKUP($A28,CHARMS!$A$6:$CQ$89,19,)</f>
        <v>58 (15.1)</v>
      </c>
      <c r="H28" s="169" t="str">
        <f>HLOOKUP($A28,CHARMS!$A$6:$CQ$89,20,)</f>
        <v>No information</v>
      </c>
      <c r="I28" s="169" t="str">
        <f>HLOOKUP($A28,CHARMS!$A$6:$CQ$89,21,)</f>
        <v>All</v>
      </c>
      <c r="J28" s="169">
        <f>HLOOKUP($A28,CHARMS!$A$6:$CQ$89,22,)</f>
        <v>0</v>
      </c>
      <c r="K28" s="169">
        <f>HLOOKUP($A28,CHARMS!$A$6:$CQ$89,23,)</f>
        <v>0</v>
      </c>
      <c r="L28" s="126"/>
      <c r="M28" s="126"/>
      <c r="N28" s="126"/>
      <c r="O28" s="126"/>
      <c r="P28" s="126"/>
      <c r="Q28" s="126"/>
      <c r="R28" s="126"/>
      <c r="S28" s="126"/>
      <c r="T28" s="126"/>
    </row>
    <row r="29" spans="1:20" s="127" customFormat="1" ht="22.5" customHeight="1" x14ac:dyDescent="0.25">
      <c r="A29" s="127" t="str">
        <f>CHARMS!BW$6</f>
        <v/>
      </c>
      <c r="B29" s="207" t="str">
        <f>HLOOKUP($A29,CHARMS!$A$6:$CQ$89,1,)</f>
        <v/>
      </c>
      <c r="C29" s="169" t="str">
        <f>HLOOKUP($A29,CHARMS!$A$6:$CQ$89,9,)</f>
        <v>Retrospective cohort</v>
      </c>
      <c r="D29" s="169" t="str">
        <f>HLOOKUP($A29,CHARMS!$A$6:$CQ$89,12,)</f>
        <v>2000 - 2011</v>
      </c>
      <c r="E29" s="169" t="str">
        <f>HLOOKUP($A29,CHARMS!$A$6:$CQ$89,13,)</f>
        <v>Cardiac surgery centers</v>
      </c>
      <c r="F29" s="169" t="str">
        <f>HLOOKUP($A29,CHARMS!$A$6:$CQ$89,14,)</f>
        <v>Spain</v>
      </c>
      <c r="G29" s="169" t="str">
        <f>HLOOKUP($A29,CHARMS!$A$6:$CQ$89,19,)</f>
        <v>58 (15.1)</v>
      </c>
      <c r="H29" s="169" t="str">
        <f>HLOOKUP($A29,CHARMS!$A$6:$CQ$89,20,)</f>
        <v>No information</v>
      </c>
      <c r="I29" s="169" t="str">
        <f>HLOOKUP($A29,CHARMS!$A$6:$CQ$89,21,)</f>
        <v>All</v>
      </c>
      <c r="J29" s="169">
        <f>HLOOKUP($A29,CHARMS!$A$6:$CQ$89,22,)</f>
        <v>0</v>
      </c>
      <c r="K29" s="169">
        <f>HLOOKUP($A29,CHARMS!$A$6:$CQ$89,23,)</f>
        <v>0</v>
      </c>
      <c r="L29" s="126"/>
      <c r="M29" s="126"/>
      <c r="N29" s="126"/>
      <c r="O29" s="126"/>
      <c r="P29" s="126"/>
      <c r="Q29" s="126"/>
      <c r="R29" s="126"/>
      <c r="S29" s="126"/>
      <c r="T29" s="126"/>
    </row>
    <row r="30" spans="1:20" s="127" customFormat="1" ht="22.5" customHeight="1" x14ac:dyDescent="0.25">
      <c r="A30" s="127" t="str">
        <f>CHARMS!BZ$6</f>
        <v/>
      </c>
      <c r="B30" s="207" t="str">
        <f>HLOOKUP($A30,CHARMS!$A$6:$CQ$89,1,)</f>
        <v/>
      </c>
      <c r="C30" s="169" t="str">
        <f>HLOOKUP($A30,CHARMS!$A$6:$CQ$89,9,)</f>
        <v>Retrospective cohort</v>
      </c>
      <c r="D30" s="169" t="str">
        <f>HLOOKUP($A30,CHARMS!$A$6:$CQ$89,12,)</f>
        <v>2000 - 2011</v>
      </c>
      <c r="E30" s="169" t="str">
        <f>HLOOKUP($A30,CHARMS!$A$6:$CQ$89,13,)</f>
        <v>Cardiac surgery centers</v>
      </c>
      <c r="F30" s="169" t="str">
        <f>HLOOKUP($A30,CHARMS!$A$6:$CQ$89,14,)</f>
        <v>Spain</v>
      </c>
      <c r="G30" s="169" t="str">
        <f>HLOOKUP($A30,CHARMS!$A$6:$CQ$89,19,)</f>
        <v>58 (15.1)</v>
      </c>
      <c r="H30" s="169" t="str">
        <f>HLOOKUP($A30,CHARMS!$A$6:$CQ$89,20,)</f>
        <v>No information</v>
      </c>
      <c r="I30" s="169" t="str">
        <f>HLOOKUP($A30,CHARMS!$A$6:$CQ$89,21,)</f>
        <v>All</v>
      </c>
      <c r="J30" s="169">
        <f>HLOOKUP($A30,CHARMS!$A$6:$CQ$89,22,)</f>
        <v>0</v>
      </c>
      <c r="K30" s="169">
        <f>HLOOKUP($A30,CHARMS!$A$6:$CQ$89,23,)</f>
        <v>0</v>
      </c>
      <c r="L30" s="126"/>
      <c r="M30" s="126"/>
      <c r="N30" s="126"/>
      <c r="O30" s="126"/>
      <c r="P30" s="126"/>
      <c r="Q30" s="126"/>
      <c r="R30" s="126"/>
      <c r="S30" s="126"/>
      <c r="T30" s="126"/>
    </row>
    <row r="31" spans="1:20" s="127" customFormat="1" ht="22.5" customHeight="1" x14ac:dyDescent="0.25">
      <c r="A31" s="127" t="str">
        <f>CHARMS!CC$6</f>
        <v/>
      </c>
      <c r="B31" s="207" t="str">
        <f>HLOOKUP($A31,CHARMS!$A$6:$CQ$89,1,)</f>
        <v/>
      </c>
      <c r="C31" s="169" t="str">
        <f>HLOOKUP($A31,CHARMS!$A$6:$CQ$89,9,)</f>
        <v>Retrospective cohort</v>
      </c>
      <c r="D31" s="169" t="str">
        <f>HLOOKUP($A31,CHARMS!$A$6:$CQ$89,12,)</f>
        <v>2000 - 2011</v>
      </c>
      <c r="E31" s="169" t="str">
        <f>HLOOKUP($A31,CHARMS!$A$6:$CQ$89,13,)</f>
        <v>Cardiac surgery centers</v>
      </c>
      <c r="F31" s="169" t="str">
        <f>HLOOKUP($A31,CHARMS!$A$6:$CQ$89,14,)</f>
        <v>Spain</v>
      </c>
      <c r="G31" s="169" t="str">
        <f>HLOOKUP($A31,CHARMS!$A$6:$CQ$89,19,)</f>
        <v>58 (15.1)</v>
      </c>
      <c r="H31" s="169" t="str">
        <f>HLOOKUP($A31,CHARMS!$A$6:$CQ$89,20,)</f>
        <v>No information</v>
      </c>
      <c r="I31" s="169" t="str">
        <f>HLOOKUP($A31,CHARMS!$A$6:$CQ$89,21,)</f>
        <v>All</v>
      </c>
      <c r="J31" s="169">
        <f>HLOOKUP($A31,CHARMS!$A$6:$CQ$89,22,)</f>
        <v>0</v>
      </c>
      <c r="K31" s="169">
        <f>HLOOKUP($A31,CHARMS!$A$6:$CQ$89,23,)</f>
        <v>0</v>
      </c>
      <c r="L31" s="126"/>
      <c r="M31" s="126"/>
      <c r="N31" s="126"/>
      <c r="O31" s="126"/>
      <c r="P31" s="126"/>
      <c r="Q31" s="126"/>
      <c r="R31" s="126"/>
      <c r="S31" s="126"/>
      <c r="T31" s="126"/>
    </row>
    <row r="32" spans="1:20" s="127" customFormat="1" ht="22.5" customHeight="1" x14ac:dyDescent="0.25">
      <c r="A32" s="127" t="str">
        <f>CHARMS!CF$6</f>
        <v/>
      </c>
      <c r="B32" s="207" t="str">
        <f>HLOOKUP($A32,CHARMS!$A$6:$CQ$89,1,)</f>
        <v/>
      </c>
      <c r="C32" s="169" t="str">
        <f>HLOOKUP($A32,CHARMS!$A$6:$CQ$89,9,)</f>
        <v>Retrospective cohort</v>
      </c>
      <c r="D32" s="169" t="str">
        <f>HLOOKUP($A32,CHARMS!$A$6:$CQ$89,12,)</f>
        <v>2000 - 2011</v>
      </c>
      <c r="E32" s="169" t="str">
        <f>HLOOKUP($A32,CHARMS!$A$6:$CQ$89,13,)</f>
        <v>Cardiac surgery centers</v>
      </c>
      <c r="F32" s="169" t="str">
        <f>HLOOKUP($A32,CHARMS!$A$6:$CQ$89,14,)</f>
        <v>Spain</v>
      </c>
      <c r="G32" s="169" t="str">
        <f>HLOOKUP($A32,CHARMS!$A$6:$CQ$89,19,)</f>
        <v>58 (15.1)</v>
      </c>
      <c r="H32" s="169" t="str">
        <f>HLOOKUP($A32,CHARMS!$A$6:$CQ$89,20,)</f>
        <v>No information</v>
      </c>
      <c r="I32" s="169" t="str">
        <f>HLOOKUP($A32,CHARMS!$A$6:$CQ$89,21,)</f>
        <v>All</v>
      </c>
      <c r="J32" s="169">
        <f>HLOOKUP($A32,CHARMS!$A$6:$CQ$89,22,)</f>
        <v>0</v>
      </c>
      <c r="K32" s="169">
        <f>HLOOKUP($A32,CHARMS!$A$6:$CQ$89,23,)</f>
        <v>0</v>
      </c>
      <c r="L32" s="126"/>
      <c r="M32" s="126"/>
      <c r="N32" s="126"/>
      <c r="O32" s="126"/>
      <c r="P32" s="126"/>
      <c r="Q32" s="126"/>
      <c r="R32" s="126"/>
      <c r="S32" s="126"/>
      <c r="T32" s="126"/>
    </row>
    <row r="33" spans="1:20" s="127" customFormat="1" ht="22.5" customHeight="1" x14ac:dyDescent="0.25">
      <c r="A33" s="127" t="str">
        <f>CHARMS!CI$6</f>
        <v/>
      </c>
      <c r="B33" s="207" t="str">
        <f>HLOOKUP($A33,CHARMS!$A$6:$CQ$89,1,)</f>
        <v/>
      </c>
      <c r="C33" s="169" t="str">
        <f>HLOOKUP($A33,CHARMS!$A$6:$CQ$89,9,)</f>
        <v>Retrospective cohort</v>
      </c>
      <c r="D33" s="169" t="str">
        <f>HLOOKUP($A33,CHARMS!$A$6:$CQ$89,12,)</f>
        <v>2000 - 2011</v>
      </c>
      <c r="E33" s="169" t="str">
        <f>HLOOKUP($A33,CHARMS!$A$6:$CQ$89,13,)</f>
        <v>Cardiac surgery centers</v>
      </c>
      <c r="F33" s="169" t="str">
        <f>HLOOKUP($A33,CHARMS!$A$6:$CQ$89,14,)</f>
        <v>Spain</v>
      </c>
      <c r="G33" s="169" t="str">
        <f>HLOOKUP($A33,CHARMS!$A$6:$CQ$89,19,)</f>
        <v>58 (15.1)</v>
      </c>
      <c r="H33" s="169" t="str">
        <f>HLOOKUP($A33,CHARMS!$A$6:$CQ$89,20,)</f>
        <v>No information</v>
      </c>
      <c r="I33" s="169" t="str">
        <f>HLOOKUP($A33,CHARMS!$A$6:$CQ$89,21,)</f>
        <v>All</v>
      </c>
      <c r="J33" s="169">
        <f>HLOOKUP($A33,CHARMS!$A$6:$CQ$89,22,)</f>
        <v>0</v>
      </c>
      <c r="K33" s="169">
        <f>HLOOKUP($A33,CHARMS!$A$6:$CQ$89,23,)</f>
        <v>0</v>
      </c>
      <c r="L33" s="126"/>
      <c r="M33" s="126"/>
      <c r="N33" s="126"/>
      <c r="O33" s="126"/>
      <c r="P33" s="126"/>
      <c r="Q33" s="126"/>
      <c r="R33" s="126"/>
      <c r="S33" s="126"/>
      <c r="T33" s="126"/>
    </row>
    <row r="34" spans="1:20" s="127" customFormat="1" ht="22.5" customHeight="1" x14ac:dyDescent="0.25">
      <c r="A34" s="127" t="str">
        <f>CHARMS!CL$6</f>
        <v/>
      </c>
      <c r="B34" s="207" t="str">
        <f>HLOOKUP($A34,CHARMS!$A$6:$CQ$89,1,)</f>
        <v/>
      </c>
      <c r="C34" s="169" t="str">
        <f>HLOOKUP($A34,CHARMS!$A$6:$CQ$89,9,)</f>
        <v>Retrospective cohort</v>
      </c>
      <c r="D34" s="169" t="str">
        <f>HLOOKUP($A34,CHARMS!$A$6:$CQ$89,12,)</f>
        <v>2000 - 2011</v>
      </c>
      <c r="E34" s="169" t="str">
        <f>HLOOKUP($A34,CHARMS!$A$6:$CQ$89,13,)</f>
        <v>Cardiac surgery centers</v>
      </c>
      <c r="F34" s="169" t="str">
        <f>HLOOKUP($A34,CHARMS!$A$6:$CQ$89,14,)</f>
        <v>Spain</v>
      </c>
      <c r="G34" s="169" t="str">
        <f>HLOOKUP($A34,CHARMS!$A$6:$CQ$89,19,)</f>
        <v>58 (15.1)</v>
      </c>
      <c r="H34" s="169" t="str">
        <f>HLOOKUP($A34,CHARMS!$A$6:$CQ$89,20,)</f>
        <v>No information</v>
      </c>
      <c r="I34" s="169" t="str">
        <f>HLOOKUP($A34,CHARMS!$A$6:$CQ$89,21,)</f>
        <v>All</v>
      </c>
      <c r="J34" s="169">
        <f>HLOOKUP($A34,CHARMS!$A$6:$CQ$89,22,)</f>
        <v>0</v>
      </c>
      <c r="K34" s="169">
        <f>HLOOKUP($A34,CHARMS!$A$6:$CQ$89,23,)</f>
        <v>0</v>
      </c>
      <c r="L34" s="126"/>
      <c r="M34" s="126"/>
      <c r="N34" s="126"/>
      <c r="O34" s="126"/>
      <c r="P34" s="126"/>
      <c r="Q34" s="126"/>
      <c r="R34" s="126"/>
      <c r="S34" s="126"/>
      <c r="T34" s="126"/>
    </row>
    <row r="35" spans="1:20" s="127" customFormat="1" ht="22.5" customHeight="1" x14ac:dyDescent="0.25">
      <c r="A35" s="127" t="str">
        <f>CHARMS!CO$6</f>
        <v/>
      </c>
      <c r="B35" s="208" t="str">
        <f>HLOOKUP($A35,CHARMS!$A$6:$CQ$89,1,)</f>
        <v/>
      </c>
      <c r="C35" s="172" t="str">
        <f>HLOOKUP($A35,CHARMS!$A$6:$CQ$89,9,)</f>
        <v>Retrospective cohort</v>
      </c>
      <c r="D35" s="172" t="str">
        <f>HLOOKUP($A35,CHARMS!$A$6:$CQ$89,12,)</f>
        <v>2000 - 2011</v>
      </c>
      <c r="E35" s="172" t="str">
        <f>HLOOKUP($A35,CHARMS!$A$6:$CQ$89,13,)</f>
        <v>Cardiac surgery centers</v>
      </c>
      <c r="F35" s="172" t="str">
        <f>HLOOKUP($A35,CHARMS!$A$6:$CQ$89,14,)</f>
        <v>Spain</v>
      </c>
      <c r="G35" s="172" t="str">
        <f>HLOOKUP($A35,CHARMS!$A$6:$CQ$89,19,)</f>
        <v>58 (15.1)</v>
      </c>
      <c r="H35" s="172" t="str">
        <f>HLOOKUP($A35,CHARMS!$A$6:$CQ$89,20,)</f>
        <v>No information</v>
      </c>
      <c r="I35" s="172" t="str">
        <f>HLOOKUP($A35,CHARMS!$A$6:$CQ$89,21,)</f>
        <v>All</v>
      </c>
      <c r="J35" s="172">
        <f>HLOOKUP($A35,CHARMS!$A$6:$CQ$89,22,)</f>
        <v>0</v>
      </c>
      <c r="K35" s="172">
        <f>HLOOKUP($A35,CHARMS!$A$6:$CQ$89,23,)</f>
        <v>0</v>
      </c>
      <c r="L35" s="124"/>
      <c r="M35" s="124"/>
      <c r="N35" s="124"/>
      <c r="O35" s="124"/>
      <c r="P35" s="124"/>
      <c r="Q35" s="124"/>
      <c r="R35" s="124"/>
      <c r="S35" s="124"/>
      <c r="T35" s="124"/>
    </row>
  </sheetData>
  <mergeCells count="7">
    <mergeCell ref="B3:K3"/>
    <mergeCell ref="G4:K4"/>
    <mergeCell ref="B4:B5"/>
    <mergeCell ref="F4:F5"/>
    <mergeCell ref="C4:C5"/>
    <mergeCell ref="E4:E5"/>
    <mergeCell ref="D4:D5"/>
  </mergeCells>
  <phoneticPr fontId="5" type="noConversion"/>
  <conditionalFormatting sqref="B6:K6">
    <cfRule type="expression" dxfId="75" priority="2">
      <formula>$A$6=""</formula>
    </cfRule>
  </conditionalFormatting>
  <conditionalFormatting sqref="B6:K35">
    <cfRule type="cellIs" dxfId="74" priority="1" operator="equal">
      <formula>0</formula>
    </cfRule>
    <cfRule type="expression" dxfId="73" priority="4">
      <formula>$A6=""</formula>
    </cfRule>
  </conditionalFormatting>
  <conditionalFormatting sqref="B7:K35">
    <cfRule type="expression" dxfId="72" priority="3">
      <formula>$A7&lt;&gt;""</formula>
    </cfRule>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11A3-CC87-434E-AC7E-7F0195EEF447}">
  <sheetPr codeName="Hoja6">
    <tabColor theme="9" tint="-0.499984740745262"/>
  </sheetPr>
  <dimension ref="A1:W80"/>
  <sheetViews>
    <sheetView topLeftCell="K1" zoomScaleNormal="100" workbookViewId="0">
      <selection activeCell="O7" sqref="O7"/>
    </sheetView>
  </sheetViews>
  <sheetFormatPr defaultColWidth="11.44140625" defaultRowHeight="14.4" x14ac:dyDescent="0.3"/>
  <cols>
    <col min="1" max="1" width="11.44140625" style="131" hidden="1" customWidth="1"/>
    <col min="2" max="2" width="25.77734375" style="131" customWidth="1"/>
    <col min="3" max="3" width="17.21875" style="131" customWidth="1"/>
    <col min="4" max="4" width="8.5546875" style="131" customWidth="1"/>
    <col min="5" max="5" width="11.44140625" style="131"/>
    <col min="6" max="8" width="8.5546875" style="131" customWidth="1"/>
    <col min="9" max="11" width="25.5546875" style="131" customWidth="1"/>
    <col min="12" max="12" width="28.5546875" style="131" customWidth="1"/>
    <col min="13" max="13" width="31.44140625" style="131" customWidth="1"/>
    <col min="14" max="18" width="5.77734375" style="131" customWidth="1"/>
    <col min="19" max="23" width="11.44140625" style="122"/>
    <col min="24" max="16384" width="11.44140625" style="131"/>
  </cols>
  <sheetData>
    <row r="1" spans="1:23" s="122" customFormat="1" x14ac:dyDescent="0.3">
      <c r="R1" s="123"/>
    </row>
    <row r="2" spans="1:23" s="122" customFormat="1" x14ac:dyDescent="0.3">
      <c r="R2" s="123"/>
    </row>
    <row r="3" spans="1:23" s="125" customFormat="1" ht="15" thickBot="1" x14ac:dyDescent="0.35">
      <c r="B3" s="362" t="s">
        <v>253</v>
      </c>
      <c r="C3" s="363"/>
      <c r="D3" s="363"/>
      <c r="E3" s="363"/>
      <c r="F3" s="363"/>
      <c r="G3" s="363"/>
      <c r="H3" s="363"/>
      <c r="I3" s="363"/>
      <c r="J3" s="363"/>
      <c r="K3" s="363"/>
      <c r="L3" s="363"/>
      <c r="M3" s="363"/>
      <c r="N3" s="363"/>
      <c r="O3" s="363"/>
      <c r="P3" s="363"/>
      <c r="Q3" s="363"/>
      <c r="R3" s="364"/>
      <c r="S3" s="122"/>
      <c r="T3" s="122"/>
      <c r="U3" s="122"/>
      <c r="V3" s="122"/>
      <c r="W3" s="122"/>
    </row>
    <row r="4" spans="1:23" ht="22.5" customHeight="1" thickBot="1" x14ac:dyDescent="0.35">
      <c r="B4" s="366" t="s">
        <v>248</v>
      </c>
      <c r="C4" s="366" t="s">
        <v>254</v>
      </c>
      <c r="D4" s="366" t="s">
        <v>255</v>
      </c>
      <c r="E4" s="132" t="s">
        <v>256</v>
      </c>
      <c r="F4" s="366" t="s">
        <v>257</v>
      </c>
      <c r="G4" s="366"/>
      <c r="H4" s="366" t="s">
        <v>258</v>
      </c>
      <c r="I4" s="366" t="s">
        <v>259</v>
      </c>
      <c r="J4" s="366" t="s">
        <v>260</v>
      </c>
      <c r="K4" s="366" t="s">
        <v>261</v>
      </c>
      <c r="L4" s="366" t="s">
        <v>262</v>
      </c>
      <c r="M4" s="366" t="s">
        <v>242</v>
      </c>
      <c r="N4" s="133"/>
      <c r="O4" s="370" t="s">
        <v>263</v>
      </c>
      <c r="P4" s="370"/>
      <c r="Q4" s="370"/>
      <c r="R4" s="370"/>
    </row>
    <row r="5" spans="1:23" ht="15" customHeight="1" thickBot="1" x14ac:dyDescent="0.35">
      <c r="B5" s="369"/>
      <c r="C5" s="369"/>
      <c r="D5" s="369"/>
      <c r="E5" s="134" t="s">
        <v>71</v>
      </c>
      <c r="F5" s="134" t="s">
        <v>264</v>
      </c>
      <c r="G5" s="134" t="s">
        <v>265</v>
      </c>
      <c r="H5" s="369"/>
      <c r="I5" s="369"/>
      <c r="J5" s="369"/>
      <c r="K5" s="369"/>
      <c r="L5" s="369"/>
      <c r="M5" s="369"/>
      <c r="N5" s="134"/>
      <c r="O5" s="135" t="s">
        <v>266</v>
      </c>
      <c r="P5" s="135" t="s">
        <v>267</v>
      </c>
      <c r="Q5" s="135" t="s">
        <v>268</v>
      </c>
      <c r="R5" s="135" t="s">
        <v>269</v>
      </c>
    </row>
    <row r="6" spans="1:23" s="140" customFormat="1" ht="22.5" customHeight="1" x14ac:dyDescent="0.3">
      <c r="A6" s="377" t="str">
        <f>CHARMS!F$6</f>
        <v>Bansal et al., 2020</v>
      </c>
      <c r="B6" s="378" t="str">
        <f>HLOOKUP($A6,CHARMS!$A$6:$CQ$89,1,)</f>
        <v>Bansal et al., 2020</v>
      </c>
      <c r="C6" s="371" t="str">
        <f>IF($A6="","",HLOOKUP($A6,CHARMS!$A$6:$CQ$89,48,))</f>
        <v>XGBoost</v>
      </c>
      <c r="D6" s="375">
        <f>IF($A6="","",IF(HLOOKUP($A6,CHARMS!$A$6:$CQ$89,40,)=0,"Unkown",HLOOKUP($A6,CHARMS!$A$6:$CQ$89,40,)))</f>
        <v>2038</v>
      </c>
      <c r="E6" s="371" t="str">
        <f>IF($A6="","",IF(HLOOKUP($A6,CHARMS!$A$6:$CQ$89,40,)=0,"Unkown",CONCATENATE(HLOOKUP($A6,CHARMS!$A$6:$CQ$89,41,)," (",FIXED((HLOOKUP($A6,CHARMS!$A$6:$CQ$89,41,)/HLOOKUP($A6,CHARMS!$A$6:$CQ$89,40,))*100,1),")")))</f>
        <v>116 (5.7)</v>
      </c>
      <c r="F6" s="371" t="str">
        <f>IF($A6="","",IF(HLOOKUP($A6,CHARMS!$A$6:$CQ$89,33,)=0,"Unkown",HLOOKUP($A6,CHARMS!$A$6:$CQ$89,33,)))</f>
        <v>Unkown</v>
      </c>
      <c r="G6" s="371" t="str">
        <f>IF($A6="","",HLOOKUP($A6,CHARMS!$A$6:$CQ$89,79,))</f>
        <v>No information</v>
      </c>
      <c r="H6" s="373" t="str">
        <f>IF($A6="","",HLOOKUP($A6,CHARMS!$A$6:$CQ$89,43,))</f>
        <v>Unknown</v>
      </c>
      <c r="I6" s="371" t="str">
        <f>IF($A6="","",HLOOKUP($A6,CHARMS!$A$6:$CQ$89,49,))</f>
        <v>No information</v>
      </c>
      <c r="J6" s="371" t="str">
        <f>IF($A6="","",HLOOKUP($A6,CHARMS!$A$6:$CQ$89,50,))</f>
        <v>No information</v>
      </c>
      <c r="K6" s="371" t="str">
        <f>CONCATENATE(IF($A6="","",IF(OR(HLOOKUP($A6,CHARMS!$A$6:$CQ$89,40,)=0,ISTEXT(HLOOKUP($A6,CHARMS!$A$6:$CQ$89,45,))),"n (%): Unkown",CONCATENATE("n (%): ",HLOOKUP($A6,CHARMS!$A$6:$CQ$89,45,)," (",FIXED((HLOOKUP($A6,CHARMS!$A$6:$CQ$89,45,)/HLOOKUP($A6,CHARMS!$A$6:$CQ$89,40,))*100,1),")"))),CHAR(10),IF($A6="","",CONCATENATE("Method: ",HLOOKUP($A6,CHARMS!$A$6:$CQ$89,46,))))</f>
        <v>n (%): Unkown
Method: No information</v>
      </c>
      <c r="L6" s="373" t="str">
        <f>IF($A6="","",CONCATENATE("Int: ",HLOOKUP($A6,CHARMS!$A$6:$CQ$89,75,),CHAR(10),"Ext : ",HLOOKUP($A6,CHARMS!$A$6:$CQ$89,76,)))</f>
        <v>Int: Random split data
Ext : None</v>
      </c>
      <c r="M6" s="373" t="str">
        <f>IF($A6="","",CONCATENATE("Cal: ",HLOOKUP($A6,CHARMS!$A$6:$CQ$89,53,),CHAR(10),"Disc : ",HLOOKUP($A6,CHARMS!$A$6:$CQ$89,59,),CHAR(10),"Ov: ",HLOOKUP($A6,CHARMS!$A$6:$CQ$89,66,)))</f>
        <v xml:space="preserve">Cal: Not evaluated
Disc : C-Statistic 
Ov: Brier score </v>
      </c>
      <c r="N6" s="136" t="s">
        <v>31</v>
      </c>
      <c r="O6" s="137" t="str">
        <f>_xlfn.IFNA(IF(HLOOKUP($A6,PROBAST!$A$6:$AE$77,11,)="Low RoB","+",IF(HLOOKUP($A6,PROBAST!$A$6:$AE$77,11,)="High RoB","-",IF(HLOOKUP($A6,PROBAST!$A$6:$AE$77,11,)="Unclear","?",""))),"")</f>
        <v>+</v>
      </c>
      <c r="P6" s="137" t="str">
        <f>_xlfn.IFNA(IF(HLOOKUP($A6,PROBAST!$A$6:$AE$77,25,)="Low RoB","+",IF(HLOOKUP($A6,PROBAST!$A$6:$AE$77,25,)="High RoB","-",IF(HLOOKUP($A6,PROBAST!$A$6:$AE$77,25,)="Unclear","?",""))),"")</f>
        <v>?</v>
      </c>
      <c r="Q6" s="137" t="str">
        <f>_xlfn.IFNA(IF(HLOOKUP($A6,PROBAST!$A$6:$AE$77,39,)="Low RoB","+",IF(HLOOKUP($A6,PROBAST!$A$6:$AE$77,39,)="High RoB","-",IF(HLOOKUP($A6,PROBAST!$A$6:$AE$77,39,)="Unclear","?",""))),"")</f>
        <v>?</v>
      </c>
      <c r="R6" s="138" t="str">
        <f>_xlfn.IFNA(IF(HLOOKUP($A6,PROBAST!$A$6:$AE$77,58,)="Low RoB","+",IF(HLOOKUP($A6,PROBAST!$A$6:$AE$77,58,)="High RoB","-",IF(HLOOKUP($A6,PROBAST!$A$6:$AE$77,58,)="Unclear","?",""))),"")</f>
        <v>-</v>
      </c>
      <c r="S6" s="139"/>
      <c r="T6" s="139"/>
      <c r="U6" s="139"/>
      <c r="V6" s="139"/>
      <c r="W6" s="139"/>
    </row>
    <row r="7" spans="1:23" ht="22.5" customHeight="1" thickBot="1" x14ac:dyDescent="0.35">
      <c r="A7" s="377"/>
      <c r="B7" s="379"/>
      <c r="C7" s="372"/>
      <c r="D7" s="376"/>
      <c r="E7" s="372"/>
      <c r="F7" s="372"/>
      <c r="G7" s="372"/>
      <c r="H7" s="374"/>
      <c r="I7" s="372"/>
      <c r="J7" s="372"/>
      <c r="K7" s="381"/>
      <c r="L7" s="374"/>
      <c r="M7" s="374"/>
      <c r="N7" s="141" t="s">
        <v>30</v>
      </c>
      <c r="O7" s="142" t="str">
        <f>_xlfn.IFNA(IF(HLOOKUP($A6,PROBAST!$A$6:$AE$77,12,)="Low concern","+",IF(HLOOKUP($A6,PROBAST!$A$6:$AE$77,12,)="High concern","-",IF(HLOOKUP($A6,PROBAST!$A$6:$AE$77,12,)="Unclear","?",""))),"")</f>
        <v>-</v>
      </c>
      <c r="P7" s="142" t="str">
        <f>_xlfn.IFNA(IF(HLOOKUP($A6,PROBAST!$A$6:$AE$77,26,)="Low concern","+",IF(HLOOKUP($A6,PROBAST!$A$6:$AE$77,26,)="High concern","-",IF(HLOOKUP($A6,PROBAST!$A$6:$AE$77,26,)="Unclear","?",""))),"")</f>
        <v>?</v>
      </c>
      <c r="Q7" s="142" t="str">
        <f>_xlfn.IFNA(IF(HLOOKUP($A6,PROBAST!$A$6:$AE$77,40,)="Low concern","+",IF(HLOOKUP($A6,PROBAST!$A$6:$AE$77,40,)="High concern","-",IF(HLOOKUP($A6,PROBAST!$A$6:$AE$77,40,)="Unclear","?",""))),"")</f>
        <v>?</v>
      </c>
      <c r="R7" s="143"/>
    </row>
    <row r="8" spans="1:23" s="140" customFormat="1" ht="22.5" customHeight="1" x14ac:dyDescent="0.3">
      <c r="A8" s="377" t="str">
        <f>CHARMS!I$6</f>
        <v>Hamilton et al., 2021</v>
      </c>
      <c r="B8" s="378" t="str">
        <f>HLOOKUP($A8,CHARMS!$A$6:$CQ$89,1,)</f>
        <v>Hamilton et al., 2021</v>
      </c>
      <c r="C8" s="371" t="str">
        <f>IF($A8="","",HLOOKUP($A8,CHARMS!$A$6:$CQ$89,48,))</f>
        <v>Random Forest</v>
      </c>
      <c r="D8" s="375">
        <f>IF($A8="","",IF(HLOOKUP($A8,CHARMS!$A$6:$CQ$89,40,)=0,"Unkown",HLOOKUP($A8,CHARMS!$A$6:$CQ$89,40,)))</f>
        <v>71963</v>
      </c>
      <c r="E8" s="371" t="str">
        <f>IF($A8="","",IF(HLOOKUP($A8,CHARMS!$A$6:$CQ$89,40,)=0,"Unkown",CONCATENATE(HLOOKUP($A8,CHARMS!$A$6:$CQ$89,41,)," (",FIXED((HLOOKUP($A8,CHARMS!$A$6:$CQ$89,41,)/HLOOKUP($A8,CHARMS!$A$6:$CQ$89,40,))*100,1),")")))</f>
        <v>665 (0.9)</v>
      </c>
      <c r="F8" s="371">
        <f>IF($A8="","",IF(HLOOKUP($A8,CHARMS!$A$6:$CQ$89,33,)=0,"Unkown",HLOOKUP($A8,CHARMS!$A$6:$CQ$89,33,)))</f>
        <v>74</v>
      </c>
      <c r="G8" s="371">
        <f>IF($A8="","",HLOOKUP($A8,CHARMS!$A$6:$CQ$89,79,))</f>
        <v>20</v>
      </c>
      <c r="H8" s="373">
        <f>IF($A8="","",HLOOKUP($A8,CHARMS!$A$6:$CQ$89,43,))</f>
        <v>8.986486486486486</v>
      </c>
      <c r="I8" s="371" t="str">
        <f>IF($A8="","",HLOOKUP($A8,CHARMS!$A$6:$CQ$89,49,))</f>
        <v>No information</v>
      </c>
      <c r="J8" s="371" t="str">
        <f>IF($A8="","",HLOOKUP($A8,CHARMS!$A$6:$CQ$89,50,))</f>
        <v>No information</v>
      </c>
      <c r="K8" s="371" t="str">
        <f>CONCATENATE(IF($A8="","",IF(OR(HLOOKUP($A8,CHARMS!$A$6:$CQ$89,40,)=0,ISTEXT(HLOOKUP($A8,CHARMS!$A$6:$CQ$89,45,))),"n (%): Unkown",CONCATENATE("n (%): ",HLOOKUP($A8,CHARMS!$A$6:$CQ$89,45,)," (",FIXED((HLOOKUP($A8,CHARMS!$A$6:$CQ$89,45,)/HLOOKUP($A8,CHARMS!$A$6:$CQ$89,40,))*100,1),")"))),CHAR(10),IF($A8="","",CONCATENATE("Method: ",HLOOKUP($A8,CHARMS!$A$6:$CQ$89,46,))))</f>
        <v>n (%): Unkown
Method: No information</v>
      </c>
      <c r="L8" s="373" t="str">
        <f>IF($A8="","",CONCATENATE("Int: ",HLOOKUP($A8,CHARMS!$A$6:$CQ$89,75,),CHAR(10),"Ext : ",HLOOKUP($A8,CHARMS!$A$6:$CQ$89,76,)))</f>
        <v>Int: Random split data
Ext : None</v>
      </c>
      <c r="M8" s="373" t="str">
        <f>IF($A8="","",CONCATENATE("Cal: ",HLOOKUP($A8,CHARMS!$A$6:$CQ$89,53,),CHAR(10),"Disc : ",HLOOKUP($A8,CHARMS!$A$6:$CQ$89,59,),CHAR(10),"Ov: ",HLOOKUP($A8,CHARMS!$A$6:$CQ$89,66,)))</f>
        <v>Cal: Not evaluated
Disc : C-Statistic 
Ov: Not evaluated</v>
      </c>
      <c r="N8" s="136" t="s">
        <v>31</v>
      </c>
      <c r="O8" s="137" t="str">
        <f>_xlfn.IFNA(IF(HLOOKUP($A8,PROBAST!$A$6:$AE$77,11,)="Low RoB","+",IF(HLOOKUP($A8,PROBAST!$A$6:$AE$77,11,)="High RoB","-",IF(HLOOKUP($A8,PROBAST!$A$6:$AE$77,11,)="Unclear","?",""))),"")</f>
        <v>?</v>
      </c>
      <c r="P8" s="137" t="str">
        <f>_xlfn.IFNA(IF(HLOOKUP($A8,PROBAST!$A$6:$AE$77,25,)="Low RoB","+",IF(HLOOKUP($A8,PROBAST!$A$6:$AE$77,25,)="High RoB","-",IF(HLOOKUP($A8,PROBAST!$A$6:$AE$77,25,)="Unclear","?",""))),"")</f>
        <v>?</v>
      </c>
      <c r="Q8" s="137" t="str">
        <f>_xlfn.IFNA(IF(HLOOKUP($A8,PROBAST!$A$6:$AE$77,39,)="Low RoB","+",IF(HLOOKUP($A8,PROBAST!$A$6:$AE$77,39,)="High RoB","-",IF(HLOOKUP($A8,PROBAST!$A$6:$AE$77,39,)="Unclear","?",""))),"")</f>
        <v>?</v>
      </c>
      <c r="R8" s="138" t="str">
        <f>_xlfn.IFNA(IF(HLOOKUP($A8,PROBAST!$A$6:$AE$77,58,)="Low RoB","+",IF(HLOOKUP($A8,PROBAST!$A$6:$AE$77,58,)="High RoB","-",IF(HLOOKUP($A8,PROBAST!$A$6:$AE$77,58,)="Unclear","?",""))),"")</f>
        <v>-</v>
      </c>
      <c r="S8" s="139"/>
      <c r="T8" s="139"/>
      <c r="U8" s="139"/>
      <c r="V8" s="139"/>
      <c r="W8" s="139"/>
    </row>
    <row r="9" spans="1:23" ht="22.5" customHeight="1" thickBot="1" x14ac:dyDescent="0.35">
      <c r="A9" s="377"/>
      <c r="B9" s="379"/>
      <c r="C9" s="372"/>
      <c r="D9" s="376"/>
      <c r="E9" s="372"/>
      <c r="F9" s="372"/>
      <c r="G9" s="372"/>
      <c r="H9" s="374"/>
      <c r="I9" s="372"/>
      <c r="J9" s="372"/>
      <c r="K9" s="381"/>
      <c r="L9" s="374"/>
      <c r="M9" s="374"/>
      <c r="N9" s="141" t="s">
        <v>30</v>
      </c>
      <c r="O9" s="142" t="str">
        <f>_xlfn.IFNA(IF(HLOOKUP($A8,PROBAST!$A$6:$AE$77,12,)="Low concern","+",IF(HLOOKUP($A8,PROBAST!$A$6:$AE$77,12,)="High concern","-",IF(HLOOKUP($A8,PROBAST!$A$6:$AE$77,12,)="Unclear","?",""))),"")</f>
        <v>?</v>
      </c>
      <c r="P9" s="142" t="str">
        <f>_xlfn.IFNA(IF(HLOOKUP($A8,PROBAST!$A$6:$AE$77,26,)="Low concern","+",IF(HLOOKUP($A8,PROBAST!$A$6:$AE$77,26,)="High concern","-",IF(HLOOKUP($A8,PROBAST!$A$6:$AE$77,26,)="Unclear","?",""))),"")</f>
        <v>?</v>
      </c>
      <c r="Q9" s="142" t="str">
        <f>_xlfn.IFNA(IF(HLOOKUP($A8,PROBAST!$A$6:$AE$77,40,)="Low concern","+",IF(HLOOKUP($A8,PROBAST!$A$6:$AE$77,40,)="High concern","-",IF(HLOOKUP($A8,PROBAST!$A$6:$AE$77,40,)="Unclear","?",""))),"")</f>
        <v>?</v>
      </c>
      <c r="R9" s="143"/>
    </row>
    <row r="10" spans="1:23" s="140" customFormat="1" ht="22.5" customHeight="1" x14ac:dyDescent="0.3">
      <c r="A10" s="377" t="str">
        <f>CHARMS!L$6</f>
        <v>Hamilton et al., 2022</v>
      </c>
      <c r="B10" s="378" t="str">
        <f>HLOOKUP($A10,CHARMS!$A$6:$CQ$89,1,)</f>
        <v>Hamilton et al., 2022</v>
      </c>
      <c r="C10" s="371" t="str">
        <f>IF($A10="","",HLOOKUP($A10,CHARMS!$A$6:$CQ$89,48,))</f>
        <v>XGBoost</v>
      </c>
      <c r="D10" s="375">
        <f>IF($A10="","",IF(HLOOKUP($A10,CHARMS!$A$6:$CQ$89,40,)=0,"Unkown",HLOOKUP($A10,CHARMS!$A$6:$CQ$89,40,)))</f>
        <v>71963</v>
      </c>
      <c r="E10" s="371" t="str">
        <f>IF($A10="","",IF(HLOOKUP($A10,CHARMS!$A$6:$CQ$89,40,)=0,"Unkown",CONCATENATE(HLOOKUP($A10,CHARMS!$A$6:$CQ$89,41,)," (",FIXED((HLOOKUP($A10,CHARMS!$A$6:$CQ$89,41,)/HLOOKUP($A10,CHARMS!$A$6:$CQ$89,40,))*100,1),")")))</f>
        <v>631 (0.9)</v>
      </c>
      <c r="F10" s="371">
        <f>IF($A10="","",IF(HLOOKUP($A10,CHARMS!$A$6:$CQ$89,33,)=0,"Unkown",HLOOKUP($A10,CHARMS!$A$6:$CQ$89,33,)))</f>
        <v>74</v>
      </c>
      <c r="G10" s="371" t="str">
        <f>IF($A10="","",HLOOKUP($A10,CHARMS!$A$6:$CQ$89,79,))</f>
        <v>No information</v>
      </c>
      <c r="H10" s="373">
        <f>IF($A10="","",HLOOKUP($A10,CHARMS!$A$6:$CQ$89,43,))</f>
        <v>8.5270270270270263</v>
      </c>
      <c r="I10" s="371" t="str">
        <f>IF($A10="","",HLOOKUP($A10,CHARMS!$A$6:$CQ$89,49,))</f>
        <v>No information</v>
      </c>
      <c r="J10" s="371" t="str">
        <f>IF($A10="","",HLOOKUP($A10,CHARMS!$A$6:$CQ$89,50,))</f>
        <v>No information</v>
      </c>
      <c r="K10" s="371" t="str">
        <f>CONCATENATE(IF($A10="","",IF(OR(HLOOKUP($A10,CHARMS!$A$6:$CQ$89,40,)=0,ISTEXT(HLOOKUP($A10,CHARMS!$A$6:$CQ$89,45,))),"n (%): Unkown",CONCATENATE("n (%): ",HLOOKUP($A10,CHARMS!$A$6:$CQ$89,45,)," (",FIXED((HLOOKUP($A10,CHARMS!$A$6:$CQ$89,45,)/HLOOKUP($A10,CHARMS!$A$6:$CQ$89,40,))*100,1),")"))),CHAR(10),IF($A10="","",CONCATENATE("Method: ",HLOOKUP($A10,CHARMS!$A$6:$CQ$89,46,))))</f>
        <v>n (%): Unkown
Method: No information</v>
      </c>
      <c r="L10" s="373" t="str">
        <f>IF($A10="","",CONCATENATE("Int: ",HLOOKUP($A10,CHARMS!$A$6:$CQ$89,75,),CHAR(10),"Ext : ",HLOOKUP($A10,CHARMS!$A$6:$CQ$89,76,)))</f>
        <v>Int: Random split data
Ext : None</v>
      </c>
      <c r="M10" s="373" t="str">
        <f>IF($A10="","",CONCATENATE("Cal: ",HLOOKUP($A10,CHARMS!$A$6:$CQ$89,53,),CHAR(10),"Disc : ",HLOOKUP($A10,CHARMS!$A$6:$CQ$89,59,),CHAR(10),"Ov: ",HLOOKUP($A10,CHARMS!$A$6:$CQ$89,66,)))</f>
        <v>Cal: Not evaluated
Disc : C-Statistic 
Ov: Not evaluated</v>
      </c>
      <c r="N10" s="136" t="s">
        <v>31</v>
      </c>
      <c r="O10" s="137" t="str">
        <f>_xlfn.IFNA(IF(HLOOKUP($A10,PROBAST!$A$6:$AE$77,11,)="Low RoB","+",IF(HLOOKUP($A10,PROBAST!$A$6:$AE$77,11,)="High RoB","-",IF(HLOOKUP($A10,PROBAST!$A$6:$AE$77,11,)="Unclear","?",""))),"")</f>
        <v>?</v>
      </c>
      <c r="P10" s="137" t="str">
        <f>_xlfn.IFNA(IF(HLOOKUP($A10,PROBAST!$A$6:$AE$77,25,)="Low RoB","+",IF(HLOOKUP($A10,PROBAST!$A$6:$AE$77,25,)="High RoB","-",IF(HLOOKUP($A10,PROBAST!$A$6:$AE$77,25,)="Unclear","?",""))),"")</f>
        <v>?</v>
      </c>
      <c r="Q10" s="137" t="str">
        <f>_xlfn.IFNA(IF(HLOOKUP($A10,PROBAST!$A$6:$AE$77,39,)="Low RoB","+",IF(HLOOKUP($A10,PROBAST!$A$6:$AE$77,39,)="High RoB","-",IF(HLOOKUP($A10,PROBAST!$A$6:$AE$77,39,)="Unclear","?",""))),"")</f>
        <v>?</v>
      </c>
      <c r="R10" s="138" t="str">
        <f>_xlfn.IFNA(IF(HLOOKUP($A10,PROBAST!$A$6:$AE$77,58,)="Low RoB","+",IF(HLOOKUP($A10,PROBAST!$A$6:$AE$77,58,)="High RoB","-",IF(HLOOKUP($A10,PROBAST!$A$6:$AE$77,58,)="Unclear","?",""))),"")</f>
        <v>-</v>
      </c>
      <c r="S10" s="139"/>
      <c r="T10" s="139"/>
      <c r="U10" s="139"/>
      <c r="V10" s="139"/>
      <c r="W10" s="139"/>
    </row>
    <row r="11" spans="1:23" ht="22.5" customHeight="1" thickBot="1" x14ac:dyDescent="0.35">
      <c r="A11" s="377"/>
      <c r="B11" s="379"/>
      <c r="C11" s="372"/>
      <c r="D11" s="376"/>
      <c r="E11" s="372"/>
      <c r="F11" s="372"/>
      <c r="G11" s="372"/>
      <c r="H11" s="374"/>
      <c r="I11" s="372"/>
      <c r="J11" s="372"/>
      <c r="K11" s="381"/>
      <c r="L11" s="374"/>
      <c r="M11" s="374"/>
      <c r="N11" s="141" t="s">
        <v>30</v>
      </c>
      <c r="O11" s="142" t="str">
        <f>_xlfn.IFNA(IF(HLOOKUP($A10,PROBAST!$A$6:$AE$77,12,)="Low concern","+",IF(HLOOKUP($A10,PROBAST!$A$6:$AE$77,12,)="High concern","-",IF(HLOOKUP($A10,PROBAST!$A$6:$AE$77,12,)="Unclear","?",""))),"")</f>
        <v>?</v>
      </c>
      <c r="P11" s="142" t="str">
        <f>_xlfn.IFNA(IF(HLOOKUP($A10,PROBAST!$A$6:$AE$77,26,)="Low concern","+",IF(HLOOKUP($A10,PROBAST!$A$6:$AE$77,26,)="High concern","-",IF(HLOOKUP($A10,PROBAST!$A$6:$AE$77,26,)="Unclear","?",""))),"")</f>
        <v>?</v>
      </c>
      <c r="Q11" s="142" t="str">
        <f>_xlfn.IFNA(IF(HLOOKUP($A10,PROBAST!$A$6:$AE$77,40,)="Low concern","+",IF(HLOOKUP($A10,PROBAST!$A$6:$AE$77,40,)="High concern","-",IF(HLOOKUP($A10,PROBAST!$A$6:$AE$77,40,)="Unclear","?",""))),"")</f>
        <v>?</v>
      </c>
      <c r="R11" s="143"/>
    </row>
    <row r="12" spans="1:23" s="140" customFormat="1" ht="22.5" customHeight="1" x14ac:dyDescent="0.3">
      <c r="A12" s="377" t="str">
        <f>CHARMS!O$6</f>
        <v>Mortazavi et al., 2019</v>
      </c>
      <c r="B12" s="378" t="str">
        <f>HLOOKUP($A12,CHARMS!$A$6:$CQ$89,1,)</f>
        <v>Mortazavi et al., 2019</v>
      </c>
      <c r="C12" s="371" t="str">
        <f>IF($A12="","",HLOOKUP($A12,CHARMS!$A$6:$CQ$89,48,))</f>
        <v>XGBoost</v>
      </c>
      <c r="D12" s="375">
        <f>IF($A12="","",IF(HLOOKUP($A12,CHARMS!$A$6:$CQ$89,40,)=0,"Unkown",HLOOKUP($A12,CHARMS!$A$6:$CQ$89,40,)))</f>
        <v>3316465</v>
      </c>
      <c r="E12" s="371" t="str">
        <f>IF($A12="","",IF(HLOOKUP($A12,CHARMS!$A$6:$CQ$89,40,)=0,"Unkown",CONCATENATE(HLOOKUP($A12,CHARMS!$A$6:$CQ$89,41,)," (",FIXED((HLOOKUP($A12,CHARMS!$A$6:$CQ$89,41,)/HLOOKUP($A12,CHARMS!$A$6:$CQ$89,40,))*100,1),")")))</f>
        <v>149724 (4.5)</v>
      </c>
      <c r="F12" s="371" t="str">
        <f>IF($A12="","",IF(HLOOKUP($A12,CHARMS!$A$6:$CQ$89,33,)=0,"Unkown",HLOOKUP($A12,CHARMS!$A$6:$CQ$89,33,)))</f>
        <v>Unkown</v>
      </c>
      <c r="G12" s="371">
        <f>IF($A12="","",HLOOKUP($A12,CHARMS!$A$6:$CQ$89,79,))</f>
        <v>42</v>
      </c>
      <c r="H12" s="373" t="str">
        <f>IF($A12="","",HLOOKUP($A12,CHARMS!$A$6:$CQ$89,43,))</f>
        <v>Unknown</v>
      </c>
      <c r="I12" s="371" t="str">
        <f>IF($A12="","",HLOOKUP($A12,CHARMS!$A$6:$CQ$89,49,))</f>
        <v>All available predictors</v>
      </c>
      <c r="J12" s="371" t="str">
        <f>IF($A12="","",HLOOKUP($A12,CHARMS!$A$6:$CQ$89,50,))</f>
        <v>Pre-specified model (not selection)</v>
      </c>
      <c r="K12" s="371" t="str">
        <f>CONCATENATE(IF($A12="","",IF(OR(HLOOKUP($A12,CHARMS!$A$6:$CQ$89,40,)=0,ISTEXT(HLOOKUP($A12,CHARMS!$A$6:$CQ$89,45,))),"n (%): Unkown",CONCATENATE("n (%): ",HLOOKUP($A12,CHARMS!$A$6:$CQ$89,45,)," (",FIXED((HLOOKUP($A12,CHARMS!$A$6:$CQ$89,45,)/HLOOKUP($A12,CHARMS!$A$6:$CQ$89,40,))*100,1),")"))),CHAR(10),IF($A12="","",CONCATENATE("Method: ",HLOOKUP($A12,CHARMS!$A$6:$CQ$89,46,))))</f>
        <v>n (%): 991623 (29.9)
Method: No information</v>
      </c>
      <c r="L12" s="373" t="str">
        <f>IF($A12="","",CONCATENATE("Int: ",HLOOKUP($A12,CHARMS!$A$6:$CQ$89,75,),CHAR(10),"Ext : ",HLOOKUP($A12,CHARMS!$A$6:$CQ$89,76,)))</f>
        <v>Int: Cross-validation
Ext : None</v>
      </c>
      <c r="M12" s="373" t="str">
        <f>IF($A12="","",CONCATENATE("Cal: ",HLOOKUP($A12,CHARMS!$A$6:$CQ$89,53,),CHAR(10),"Disc : ",HLOOKUP($A12,CHARMS!$A$6:$CQ$89,59,),CHAR(10),"Ov: ",HLOOKUP($A12,CHARMS!$A$6:$CQ$89,66,)))</f>
        <v xml:space="preserve">Cal: Calibration plot 
Disc : C-Statistic 
Ov: Brier score </v>
      </c>
      <c r="N12" s="136" t="s">
        <v>31</v>
      </c>
      <c r="O12" s="137" t="str">
        <f>_xlfn.IFNA(IF(HLOOKUP($A12,PROBAST!$A$6:$AE$77,11,)="Low RoB","+",IF(HLOOKUP($A12,PROBAST!$A$6:$AE$77,11,)="High RoB","-",IF(HLOOKUP($A12,PROBAST!$A$6:$AE$77,11,)="Unclear","?",""))),"")</f>
        <v>+</v>
      </c>
      <c r="P12" s="137" t="str">
        <f>_xlfn.IFNA(IF(HLOOKUP($A12,PROBAST!$A$6:$AE$77,25,)="Low RoB","+",IF(HLOOKUP($A12,PROBAST!$A$6:$AE$77,25,)="High RoB","-",IF(HLOOKUP($A12,PROBAST!$A$6:$AE$77,25,)="Unclear","?",""))),"")</f>
        <v>+</v>
      </c>
      <c r="Q12" s="137" t="str">
        <f>_xlfn.IFNA(IF(HLOOKUP($A12,PROBAST!$A$6:$AE$77,39,)="Low RoB","+",IF(HLOOKUP($A12,PROBAST!$A$6:$AE$77,39,)="High RoB","-",IF(HLOOKUP($A12,PROBAST!$A$6:$AE$77,39,)="Unclear","?",""))),"")</f>
        <v>+</v>
      </c>
      <c r="R12" s="138" t="str">
        <f>_xlfn.IFNA(IF(HLOOKUP($A12,PROBAST!$A$6:$AE$77,58,)="Low RoB","+",IF(HLOOKUP($A12,PROBAST!$A$6:$AE$77,58,)="High RoB","-",IF(HLOOKUP($A12,PROBAST!$A$6:$AE$77,58,)="Unclear","?",""))),"")</f>
        <v>-</v>
      </c>
      <c r="S12" s="139"/>
      <c r="T12" s="139"/>
      <c r="U12" s="139"/>
      <c r="V12" s="139"/>
      <c r="W12" s="139"/>
    </row>
    <row r="13" spans="1:23" ht="22.5" customHeight="1" thickBot="1" x14ac:dyDescent="0.35">
      <c r="A13" s="377"/>
      <c r="B13" s="379"/>
      <c r="C13" s="372"/>
      <c r="D13" s="376"/>
      <c r="E13" s="372"/>
      <c r="F13" s="372"/>
      <c r="G13" s="372"/>
      <c r="H13" s="374"/>
      <c r="I13" s="372"/>
      <c r="J13" s="372"/>
      <c r="K13" s="381"/>
      <c r="L13" s="374"/>
      <c r="M13" s="374"/>
      <c r="N13" s="141" t="s">
        <v>30</v>
      </c>
      <c r="O13" s="142" t="str">
        <f>_xlfn.IFNA(IF(HLOOKUP($A12,PROBAST!$A$6:$AE$77,12,)="Low concern","+",IF(HLOOKUP($A12,PROBAST!$A$6:$AE$77,12,)="High concern","-",IF(HLOOKUP($A12,PROBAST!$A$6:$AE$77,12,)="Unclear","?",""))),"")</f>
        <v>+</v>
      </c>
      <c r="P13" s="142" t="str">
        <f>_xlfn.IFNA(IF(HLOOKUP($A12,PROBAST!$A$6:$AE$77,26,)="Low concern","+",IF(HLOOKUP($A12,PROBAST!$A$6:$AE$77,26,)="High concern","-",IF(HLOOKUP($A12,PROBAST!$A$6:$AE$77,26,)="Unclear","?",""))),"")</f>
        <v>+</v>
      </c>
      <c r="Q13" s="142" t="str">
        <f>_xlfn.IFNA(IF(HLOOKUP($A12,PROBAST!$A$6:$AE$77,40,)="Low concern","+",IF(HLOOKUP($A12,PROBAST!$A$6:$AE$77,40,)="High concern","-",IF(HLOOKUP($A12,PROBAST!$A$6:$AE$77,40,)="Unclear","?",""))),"")</f>
        <v>+</v>
      </c>
      <c r="R13" s="143"/>
      <c r="V13" s="139"/>
    </row>
    <row r="14" spans="1:23" s="140" customFormat="1" ht="22.5" customHeight="1" x14ac:dyDescent="0.3">
      <c r="A14" s="377" t="str">
        <f>CHARMS!R$6</f>
        <v>Kulkarni et al., 2021</v>
      </c>
      <c r="B14" s="378" t="str">
        <f>HLOOKUP($A14,CHARMS!$A$6:$CQ$89,1,)</f>
        <v>Kulkarni et al., 2021</v>
      </c>
      <c r="C14" s="371" t="str">
        <f>IF($A14="","",HLOOKUP($A14,CHARMS!$A$6:$CQ$89,48,))</f>
        <v>Neural network</v>
      </c>
      <c r="D14" s="375">
        <f>IF($A14="","",IF(HLOOKUP($A14,CHARMS!$A$6:$CQ$89,40,)=0,"Unkown",HLOOKUP($A14,CHARMS!$A$6:$CQ$89,40,)))</f>
        <v>28005</v>
      </c>
      <c r="E14" s="371" t="str">
        <f>IF($A14="","",IF(HLOOKUP($A14,CHARMS!$A$6:$CQ$89,40,)=0,"Unkown",CONCATENATE(HLOOKUP($A14,CHARMS!$A$6:$CQ$89,41,)," (",FIXED((HLOOKUP($A14,CHARMS!$A$6:$CQ$89,41,)/HLOOKUP($A14,CHARMS!$A$6:$CQ$89,40,))*100,1),")")))</f>
        <v>1016 (3.6)</v>
      </c>
      <c r="F14" s="371">
        <f>IF($A14="","",IF(HLOOKUP($A14,CHARMS!$A$6:$CQ$89,33,)=0,"Unkown",HLOOKUP($A14,CHARMS!$A$6:$CQ$89,33,)))</f>
        <v>100</v>
      </c>
      <c r="G14" s="371">
        <f>IF($A14="","",HLOOKUP($A14,CHARMS!$A$6:$CQ$89,79,))</f>
        <v>100</v>
      </c>
      <c r="H14" s="373">
        <f>IF($A14="","",HLOOKUP($A14,CHARMS!$A$6:$CQ$89,43,))</f>
        <v>10.16</v>
      </c>
      <c r="I14" s="371" t="str">
        <f>IF($A14="","",HLOOKUP($A14,CHARMS!$A$6:$CQ$89,49,))</f>
        <v>No information</v>
      </c>
      <c r="J14" s="371" t="str">
        <f>IF($A14="","",HLOOKUP($A14,CHARMS!$A$6:$CQ$89,50,))</f>
        <v>Other</v>
      </c>
      <c r="K14" s="371" t="str">
        <f>CONCATENATE(IF($A14="","",IF(OR(HLOOKUP($A14,CHARMS!$A$6:$CQ$89,40,)=0,ISTEXT(HLOOKUP($A14,CHARMS!$A$6:$CQ$89,45,))),"n (%): Unkown",CONCATENATE("n (%): ",HLOOKUP($A14,CHARMS!$A$6:$CQ$89,45,)," (",FIXED((HLOOKUP($A14,CHARMS!$A$6:$CQ$89,45,)/HLOOKUP($A14,CHARMS!$A$6:$CQ$89,40,))*100,1),")"))),CHAR(10),IF($A14="","",CONCATENATE("Method: ",HLOOKUP($A14,CHARMS!$A$6:$CQ$89,46,))))</f>
        <v>n (%): Unkown
Method: Other</v>
      </c>
      <c r="L14" s="373" t="str">
        <f>IF($A14="","",CONCATENATE("Int: ",HLOOKUP($A14,CHARMS!$A$6:$CQ$89,75,),CHAR(10),"Ext : ",HLOOKUP($A14,CHARMS!$A$6:$CQ$89,76,)))</f>
        <v>Int: Random split data
Ext : None</v>
      </c>
      <c r="M14" s="373" t="str">
        <f>IF($A14="","",CONCATENATE("Cal: ",HLOOKUP($A14,CHARMS!$A$6:$CQ$89,53,),CHAR(10),"Disc : ",HLOOKUP($A14,CHARMS!$A$6:$CQ$89,59,),CHAR(10),"Ov: ",HLOOKUP($A14,CHARMS!$A$6:$CQ$89,66,)))</f>
        <v>Cal: Calibration plot / Slope 
Disc : C-Statistic / AUC graph 
Ov: Not evaluated</v>
      </c>
      <c r="N14" s="136" t="s">
        <v>31</v>
      </c>
      <c r="O14" s="137" t="str">
        <f>_xlfn.IFNA(IF(HLOOKUP($A14,PROBAST!$A$6:$AE$77,11,)="Low RoB","+",IF(HLOOKUP($A14,PROBAST!$A$6:$AE$77,11,)="High RoB","-",IF(HLOOKUP($A14,PROBAST!$A$6:$AE$77,11,)="Unclear","?",""))),"")</f>
        <v>?</v>
      </c>
      <c r="P14" s="137" t="str">
        <f>_xlfn.IFNA(IF(HLOOKUP($A14,PROBAST!$A$6:$AE$77,25,)="Low RoB","+",IF(HLOOKUP($A14,PROBAST!$A$6:$AE$77,25,)="High RoB","-",IF(HLOOKUP($A14,PROBAST!$A$6:$AE$77,25,)="Unclear","?",""))),"")</f>
        <v>+</v>
      </c>
      <c r="Q14" s="137" t="str">
        <f>_xlfn.IFNA(IF(HLOOKUP($A14,PROBAST!$A$6:$AE$77,39,)="Low RoB","+",IF(HLOOKUP($A14,PROBAST!$A$6:$AE$77,39,)="High RoB","-",IF(HLOOKUP($A14,PROBAST!$A$6:$AE$77,39,)="Unclear","?",""))),"")</f>
        <v>+</v>
      </c>
      <c r="R14" s="138" t="str">
        <f>_xlfn.IFNA(IF(HLOOKUP($A14,PROBAST!$A$6:$AE$77,58,)="Low RoB","+",IF(HLOOKUP($A14,PROBAST!$A$6:$AE$77,58,)="High RoB","-",IF(HLOOKUP($A14,PROBAST!$A$6:$AE$77,58,)="Unclear","?",""))),"")</f>
        <v>-</v>
      </c>
      <c r="S14" s="139"/>
      <c r="T14" s="139"/>
      <c r="U14" s="139"/>
      <c r="V14" s="139"/>
      <c r="W14" s="139"/>
    </row>
    <row r="15" spans="1:23" ht="22.5" customHeight="1" thickBot="1" x14ac:dyDescent="0.35">
      <c r="A15" s="377"/>
      <c r="B15" s="379"/>
      <c r="C15" s="372"/>
      <c r="D15" s="376"/>
      <c r="E15" s="372"/>
      <c r="F15" s="372"/>
      <c r="G15" s="372"/>
      <c r="H15" s="374"/>
      <c r="I15" s="372"/>
      <c r="J15" s="372"/>
      <c r="K15" s="381"/>
      <c r="L15" s="374"/>
      <c r="M15" s="374"/>
      <c r="N15" s="141" t="s">
        <v>30</v>
      </c>
      <c r="O15" s="142" t="str">
        <f>_xlfn.IFNA(IF(HLOOKUP($A14,PROBAST!$A$6:$AE$77,12,)="Low concern","+",IF(HLOOKUP($A14,PROBAST!$A$6:$AE$77,12,)="High concern","-",IF(HLOOKUP($A14,PROBAST!$A$6:$AE$77,12,)="Unclear","?",""))),"")</f>
        <v>?</v>
      </c>
      <c r="P15" s="142" t="str">
        <f>_xlfn.IFNA(IF(HLOOKUP($A14,PROBAST!$A$6:$AE$77,26,)="Low concern","+",IF(HLOOKUP($A14,PROBAST!$A$6:$AE$77,26,)="High concern","-",IF(HLOOKUP($A14,PROBAST!$A$6:$AE$77,26,)="Unclear","?",""))),"")</f>
        <v>+</v>
      </c>
      <c r="Q15" s="142" t="str">
        <f>_xlfn.IFNA(IF(HLOOKUP($A14,PROBAST!$A$6:$AE$77,40,)="Low concern","+",IF(HLOOKUP($A14,PROBAST!$A$6:$AE$77,40,)="High concern","-",IF(HLOOKUP($A14,PROBAST!$A$6:$AE$77,40,)="Unclear","?",""))),"")</f>
        <v>+</v>
      </c>
      <c r="R15" s="143"/>
    </row>
    <row r="16" spans="1:23" s="140" customFormat="1" ht="22.5" customHeight="1" x14ac:dyDescent="0.3">
      <c r="A16" s="377" t="str">
        <f>CHARMS!U$6</f>
        <v>Niimi et al., 2022</v>
      </c>
      <c r="B16" s="378" t="str">
        <f>HLOOKUP($A16,CHARMS!$A$6:$CQ$89,1,)</f>
        <v>Niimi et al., 2022</v>
      </c>
      <c r="C16" s="371" t="str">
        <f>IF($A16="","",HLOOKUP($A16,CHARMS!$A$6:$CQ$89,48,))</f>
        <v>XGBoost</v>
      </c>
      <c r="D16" s="375">
        <f>IF($A16="","",IF(HLOOKUP($A16,CHARMS!$A$6:$CQ$89,40,)=0,"Unkown",HLOOKUP($A16,CHARMS!$A$6:$CQ$89,40,)))</f>
        <v>16484</v>
      </c>
      <c r="E16" s="371" t="str">
        <f>IF($A16="","",IF(HLOOKUP($A16,CHARMS!$A$6:$CQ$89,40,)=0,"Unkown",CONCATENATE(HLOOKUP($A16,CHARMS!$A$6:$CQ$89,41,)," (",FIXED((HLOOKUP($A16,CHARMS!$A$6:$CQ$89,41,)/HLOOKUP($A16,CHARMS!$A$6:$CQ$89,40,))*100,1),")")))</f>
        <v>1784 (10.8)</v>
      </c>
      <c r="F16" s="371">
        <f>IF($A16="","",IF(HLOOKUP($A16,CHARMS!$A$6:$CQ$89,33,)=0,"Unkown",HLOOKUP($A16,CHARMS!$A$6:$CQ$89,33,)))</f>
        <v>9</v>
      </c>
      <c r="G16" s="371">
        <f>IF($A16="","",HLOOKUP($A16,CHARMS!$A$6:$CQ$89,79,))</f>
        <v>9</v>
      </c>
      <c r="H16" s="373">
        <f>IF($A16="","",HLOOKUP($A16,CHARMS!$A$6:$CQ$89,43,))</f>
        <v>198.22222222222223</v>
      </c>
      <c r="I16" s="371" t="str">
        <f>IF($A16="","",HLOOKUP($A16,CHARMS!$A$6:$CQ$89,49,))</f>
        <v>Based on prior knowledge</v>
      </c>
      <c r="J16" s="371" t="str">
        <f>IF($A16="","",HLOOKUP($A16,CHARMS!$A$6:$CQ$89,50,))</f>
        <v>Other</v>
      </c>
      <c r="K16" s="371" t="str">
        <f>CONCATENATE(IF($A16="","",IF(OR(HLOOKUP($A16,CHARMS!$A$6:$CQ$89,40,)=0,ISTEXT(HLOOKUP($A16,CHARMS!$A$6:$CQ$89,45,))),"n (%): Unkown",CONCATENATE("n (%): ",HLOOKUP($A16,CHARMS!$A$6:$CQ$89,45,)," (",FIXED((HLOOKUP($A16,CHARMS!$A$6:$CQ$89,45,)/HLOOKUP($A16,CHARMS!$A$6:$CQ$89,40,))*100,1),")"))),CHAR(10),IF($A16="","",CONCATENATE("Method: ",HLOOKUP($A16,CHARMS!$A$6:$CQ$89,46,))))</f>
        <v>n (%): 8364 (50.7)
Method: Single imputation</v>
      </c>
      <c r="L16" s="373" t="str">
        <f>IF($A16="","",CONCATENATE("Int: ",HLOOKUP($A16,CHARMS!$A$6:$CQ$89,75,),CHAR(10),"Ext : ",HLOOKUP($A16,CHARMS!$A$6:$CQ$89,76,)))</f>
        <v>Int: Random split data
Ext : None</v>
      </c>
      <c r="M16" s="373" t="str">
        <f>IF($A16="","",CONCATENATE("Cal: ",HLOOKUP($A16,CHARMS!$A$6:$CQ$89,53,),CHAR(10),"Disc : ",HLOOKUP($A16,CHARMS!$A$6:$CQ$89,59,),CHAR(10),"Ov: ",HLOOKUP($A16,CHARMS!$A$6:$CQ$89,66,)))</f>
        <v xml:space="preserve">Cal: Calibration plot 
Disc : C-Statistic / AUC graph 
Ov: Brier score </v>
      </c>
      <c r="N16" s="136" t="s">
        <v>31</v>
      </c>
      <c r="O16" s="137" t="str">
        <f>_xlfn.IFNA(IF(HLOOKUP($A16,PROBAST!$A$6:$AE$77,11,)="Low RoB","+",IF(HLOOKUP($A16,PROBAST!$A$6:$AE$77,11,)="High RoB","-",IF(HLOOKUP($A16,PROBAST!$A$6:$AE$77,11,)="Unclear","?",""))),"")</f>
        <v>+</v>
      </c>
      <c r="P16" s="137" t="str">
        <f>_xlfn.IFNA(IF(HLOOKUP($A16,PROBAST!$A$6:$AE$77,25,)="Low RoB","+",IF(HLOOKUP($A16,PROBAST!$A$6:$AE$77,25,)="High RoB","-",IF(HLOOKUP($A16,PROBAST!$A$6:$AE$77,25,)="Unclear","?",""))),"")</f>
        <v>+</v>
      </c>
      <c r="Q16" s="137" t="str">
        <f>_xlfn.IFNA(IF(HLOOKUP($A16,PROBAST!$A$6:$AE$77,39,)="Low RoB","+",IF(HLOOKUP($A16,PROBAST!$A$6:$AE$77,39,)="High RoB","-",IF(HLOOKUP($A16,PROBAST!$A$6:$AE$77,39,)="Unclear","?",""))),"")</f>
        <v>+</v>
      </c>
      <c r="R16" s="138" t="str">
        <f>_xlfn.IFNA(IF(HLOOKUP($A16,PROBAST!$A$6:$AE$77,58,)="Low RoB","+",IF(HLOOKUP($A16,PROBAST!$A$6:$AE$77,58,)="High RoB","-",IF(HLOOKUP($A16,PROBAST!$A$6:$AE$77,58,)="Unclear","?",""))),"")</f>
        <v>-</v>
      </c>
      <c r="S16" s="139"/>
      <c r="T16" s="139"/>
      <c r="U16" s="139"/>
      <c r="V16" s="139"/>
      <c r="W16" s="139"/>
    </row>
    <row r="17" spans="1:23" ht="22.5" customHeight="1" thickBot="1" x14ac:dyDescent="0.35">
      <c r="A17" s="377"/>
      <c r="B17" s="379"/>
      <c r="C17" s="372"/>
      <c r="D17" s="376"/>
      <c r="E17" s="372"/>
      <c r="F17" s="372"/>
      <c r="G17" s="372"/>
      <c r="H17" s="374"/>
      <c r="I17" s="372"/>
      <c r="J17" s="372"/>
      <c r="K17" s="381"/>
      <c r="L17" s="374"/>
      <c r="M17" s="374"/>
      <c r="N17" s="141" t="s">
        <v>30</v>
      </c>
      <c r="O17" s="142" t="str">
        <f>_xlfn.IFNA(IF(HLOOKUP($A16,PROBAST!$A$6:$AE$77,12,)="Low concern","+",IF(HLOOKUP($A16,PROBAST!$A$6:$AE$77,12,)="High concern","-",IF(HLOOKUP($A16,PROBAST!$A$6:$AE$77,12,)="Unclear","?",""))),"")</f>
        <v>+</v>
      </c>
      <c r="P17" s="142" t="str">
        <f>_xlfn.IFNA(IF(HLOOKUP($A16,PROBAST!$A$6:$AE$77,26,)="Low concern","+",IF(HLOOKUP($A16,PROBAST!$A$6:$AE$77,26,)="High concern","-",IF(HLOOKUP($A16,PROBAST!$A$6:$AE$77,26,)="Unclear","?",""))),"")</f>
        <v>+</v>
      </c>
      <c r="Q17" s="142" t="str">
        <f>_xlfn.IFNA(IF(HLOOKUP($A16,PROBAST!$A$6:$AE$77,40,)="Low concern","+",IF(HLOOKUP($A16,PROBAST!$A$6:$AE$77,40,)="High concern","-",IF(HLOOKUP($A16,PROBAST!$A$6:$AE$77,40,)="Unclear","?",""))),"")</f>
        <v>+</v>
      </c>
      <c r="R17" s="143"/>
    </row>
    <row r="18" spans="1:23" s="140" customFormat="1" ht="22.5" customHeight="1" x14ac:dyDescent="0.3">
      <c r="A18" s="377" t="str">
        <f>CHARMS!X$6</f>
        <v>Rayfield et al., 2020</v>
      </c>
      <c r="B18" s="378" t="str">
        <f>HLOOKUP($A18,CHARMS!$A$6:$CQ$89,1,)</f>
        <v>Rayfield et al., 2020</v>
      </c>
      <c r="C18" s="371" t="str">
        <f>IF($A18="","",HLOOKUP($A18,CHARMS!$A$6:$CQ$89,48,))</f>
        <v>Boosted classification tree</v>
      </c>
      <c r="D18" s="375">
        <f>IF($A18="","",IF(HLOOKUP($A18,CHARMS!$A$6:$CQ$89,40,)=0,"Unkown",HLOOKUP($A18,CHARMS!$A$6:$CQ$89,40,)))</f>
        <v>15604</v>
      </c>
      <c r="E18" s="371" t="str">
        <f>IF($A18="","",IF(HLOOKUP($A18,CHARMS!$A$6:$CQ$89,40,)=0,"Unkown",CONCATENATE(HLOOKUP($A18,CHARMS!$A$6:$CQ$89,41,)," (",FIXED((HLOOKUP($A18,CHARMS!$A$6:$CQ$89,41,)/HLOOKUP($A18,CHARMS!$A$6:$CQ$89,40,))*100,1),")")))</f>
        <v>281 (1.8)</v>
      </c>
      <c r="F18" s="371">
        <f>IF($A18="","",IF(HLOOKUP($A18,CHARMS!$A$6:$CQ$89,33,)=0,"Unkown",HLOOKUP($A18,CHARMS!$A$6:$CQ$89,33,)))</f>
        <v>86</v>
      </c>
      <c r="G18" s="371">
        <f>IF($A18="","",HLOOKUP($A18,CHARMS!$A$6:$CQ$89,79,))</f>
        <v>86</v>
      </c>
      <c r="H18" s="373">
        <f>IF($A18="","",HLOOKUP($A18,CHARMS!$A$6:$CQ$89,43,))</f>
        <v>3.2674418604651163</v>
      </c>
      <c r="I18" s="371" t="str">
        <f>IF($A18="","",HLOOKUP($A18,CHARMS!$A$6:$CQ$89,49,))</f>
        <v>All available predictors</v>
      </c>
      <c r="J18" s="371" t="str">
        <f>IF($A18="","",HLOOKUP($A18,CHARMS!$A$6:$CQ$89,50,))</f>
        <v>Other</v>
      </c>
      <c r="K18" s="371" t="str">
        <f>CONCATENATE(IF($A18="","",IF(OR(HLOOKUP($A18,CHARMS!$A$6:$CQ$89,40,)=0,ISTEXT(HLOOKUP($A18,CHARMS!$A$6:$CQ$89,45,))),"n (%): Unkown",CONCATENATE("n (%): ",HLOOKUP($A18,CHARMS!$A$6:$CQ$89,45,)," (",FIXED((HLOOKUP($A18,CHARMS!$A$6:$CQ$89,45,)/HLOOKUP($A18,CHARMS!$A$6:$CQ$89,40,))*100,1),")"))),CHAR(10),IF($A18="","",CONCATENATE("Method: ",HLOOKUP($A18,CHARMS!$A$6:$CQ$89,46,))))</f>
        <v>n (%): 6268 (40.2)
Method: Complete-case analysis</v>
      </c>
      <c r="L18" s="373" t="str">
        <f>IF($A18="","",CONCATENATE("Int: ",HLOOKUP($A18,CHARMS!$A$6:$CQ$89,75,),CHAR(10),"Ext : ",HLOOKUP($A18,CHARMS!$A$6:$CQ$89,76,)))</f>
        <v>Int: Random split data
Ext : None</v>
      </c>
      <c r="M18" s="373" t="str">
        <f>IF($A18="","",CONCATENATE("Cal: ",HLOOKUP($A18,CHARMS!$A$6:$CQ$89,53,),CHAR(10),"Disc : ",HLOOKUP($A18,CHARMS!$A$6:$CQ$89,59,),CHAR(10),"Ov: ",HLOOKUP($A18,CHARMS!$A$6:$CQ$89,66,)))</f>
        <v>Cal: Not evaluated
Disc : C-Statistic 
Ov: Not evaluated</v>
      </c>
      <c r="N18" s="136" t="s">
        <v>31</v>
      </c>
      <c r="O18" s="137" t="str">
        <f>_xlfn.IFNA(IF(HLOOKUP($A18,PROBAST!$A$6:$AE$77,11,)="Low RoB","+",IF(HLOOKUP($A18,PROBAST!$A$6:$AE$77,11,)="High RoB","-",IF(HLOOKUP($A18,PROBAST!$A$6:$AE$77,11,)="Unclear","?",""))),"")</f>
        <v>+</v>
      </c>
      <c r="P18" s="137" t="str">
        <f>_xlfn.IFNA(IF(HLOOKUP($A18,PROBAST!$A$6:$AE$77,25,)="Low RoB","+",IF(HLOOKUP($A18,PROBAST!$A$6:$AE$77,25,)="High RoB","-",IF(HLOOKUP($A18,PROBAST!$A$6:$AE$77,25,)="Unclear","?",""))),"")</f>
        <v>-</v>
      </c>
      <c r="Q18" s="137" t="str">
        <f>_xlfn.IFNA(IF(HLOOKUP($A18,PROBAST!$A$6:$AE$77,39,)="Low RoB","+",IF(HLOOKUP($A18,PROBAST!$A$6:$AE$77,39,)="High RoB","-",IF(HLOOKUP($A18,PROBAST!$A$6:$AE$77,39,)="Unclear","?",""))),"")</f>
        <v>+</v>
      </c>
      <c r="R18" s="138" t="str">
        <f>_xlfn.IFNA(IF(HLOOKUP($A18,PROBAST!$A$6:$AE$77,58,)="Low RoB","+",IF(HLOOKUP($A18,PROBAST!$A$6:$AE$77,58,)="High RoB","-",IF(HLOOKUP($A18,PROBAST!$A$6:$AE$77,58,)="Unclear","?",""))),"")</f>
        <v>-</v>
      </c>
      <c r="S18" s="139"/>
      <c r="T18" s="139"/>
      <c r="U18" s="139"/>
      <c r="V18" s="139"/>
      <c r="W18" s="139"/>
    </row>
    <row r="19" spans="1:23" ht="22.5" customHeight="1" thickBot="1" x14ac:dyDescent="0.35">
      <c r="A19" s="377"/>
      <c r="B19" s="379"/>
      <c r="C19" s="372"/>
      <c r="D19" s="376"/>
      <c r="E19" s="372"/>
      <c r="F19" s="372"/>
      <c r="G19" s="372"/>
      <c r="H19" s="374"/>
      <c r="I19" s="372"/>
      <c r="J19" s="372"/>
      <c r="K19" s="381"/>
      <c r="L19" s="374"/>
      <c r="M19" s="374"/>
      <c r="N19" s="141" t="s">
        <v>30</v>
      </c>
      <c r="O19" s="142" t="str">
        <f>_xlfn.IFNA(IF(HLOOKUP($A18,PROBAST!$A$6:$AE$77,12,)="Low concern","+",IF(HLOOKUP($A18,PROBAST!$A$6:$AE$77,12,)="High concern","-",IF(HLOOKUP($A18,PROBAST!$A$6:$AE$77,12,)="Unclear","?",""))),"")</f>
        <v>+</v>
      </c>
      <c r="P19" s="142" t="str">
        <f>_xlfn.IFNA(IF(HLOOKUP($A18,PROBAST!$A$6:$AE$77,26,)="Low concern","+",IF(HLOOKUP($A18,PROBAST!$A$6:$AE$77,26,)="High concern","-",IF(HLOOKUP($A18,PROBAST!$A$6:$AE$77,26,)="Unclear","?",""))),"")</f>
        <v>-</v>
      </c>
      <c r="Q19" s="142" t="str">
        <f>_xlfn.IFNA(IF(HLOOKUP($A18,PROBAST!$A$6:$AE$77,40,)="Low concern","+",IF(HLOOKUP($A18,PROBAST!$A$6:$AE$77,40,)="High concern","-",IF(HLOOKUP($A18,PROBAST!$A$6:$AE$77,40,)="Unclear","?",""))),"")</f>
        <v>+</v>
      </c>
      <c r="R19" s="143"/>
    </row>
    <row r="20" spans="1:23" s="140" customFormat="1" ht="22.5" customHeight="1" x14ac:dyDescent="0.3">
      <c r="A20" s="377" t="str">
        <f>CHARMS!AA$6</f>
        <v>Zhao et al., 2023</v>
      </c>
      <c r="B20" s="378" t="str">
        <f>HLOOKUP($A20,CHARMS!$A$6:$CQ$89,1,)</f>
        <v>Zhao et al., 2023</v>
      </c>
      <c r="C20" s="371" t="str">
        <f>IF($A20="","",HLOOKUP($A20,CHARMS!$A$6:$CQ$89,48,))</f>
        <v>XGBoost</v>
      </c>
      <c r="D20" s="375">
        <f>IF($A20="","",IF(HLOOKUP($A20,CHARMS!$A$6:$CQ$89,40,)=0,"Unkown",HLOOKUP($A20,CHARMS!$A$6:$CQ$89,40,)))</f>
        <v>16736</v>
      </c>
      <c r="E20" s="371" t="str">
        <f>IF($A20="","",IF(HLOOKUP($A20,CHARMS!$A$6:$CQ$89,40,)=0,"Unkown",CONCATENATE(HLOOKUP($A20,CHARMS!$A$6:$CQ$89,41,)," (",FIXED((HLOOKUP($A20,CHARMS!$A$6:$CQ$89,41,)/HLOOKUP($A20,CHARMS!$A$6:$CQ$89,40,))*100,1),")")))</f>
        <v>70 (0.4)</v>
      </c>
      <c r="F20" s="371">
        <f>IF($A20="","",IF(HLOOKUP($A20,CHARMS!$A$6:$CQ$89,33,)=0,"Unkown",HLOOKUP($A20,CHARMS!$A$6:$CQ$89,33,)))</f>
        <v>90</v>
      </c>
      <c r="G20" s="371">
        <f>IF($A20="","",HLOOKUP($A20,CHARMS!$A$6:$CQ$89,79,))</f>
        <v>45</v>
      </c>
      <c r="H20" s="373">
        <f>IF($A20="","",HLOOKUP($A20,CHARMS!$A$6:$CQ$89,43,))</f>
        <v>0.77777777777777779</v>
      </c>
      <c r="I20" s="371" t="str">
        <f>IF($A20="","",HLOOKUP($A20,CHARMS!$A$6:$CQ$89,49,))</f>
        <v>Unclear</v>
      </c>
      <c r="J20" s="371" t="str">
        <f>IF($A20="","",HLOOKUP($A20,CHARMS!$A$6:$CQ$89,50,))</f>
        <v>Other</v>
      </c>
      <c r="K20" s="371" t="str">
        <f>CONCATENATE(IF($A20="","",IF(OR(HLOOKUP($A20,CHARMS!$A$6:$CQ$89,40,)=0,ISTEXT(HLOOKUP($A20,CHARMS!$A$6:$CQ$89,45,))),"n (%): Unkown",CONCATENATE("n (%): ",HLOOKUP($A20,CHARMS!$A$6:$CQ$89,45,)," (",FIXED((HLOOKUP($A20,CHARMS!$A$6:$CQ$89,45,)/HLOOKUP($A20,CHARMS!$A$6:$CQ$89,40,))*100,1),")"))),CHAR(10),IF($A20="","",CONCATENATE("Method: ",HLOOKUP($A20,CHARMS!$A$6:$CQ$89,46,))))</f>
        <v>n (%): 45 (0.3)
Method: No information</v>
      </c>
      <c r="L20" s="373" t="str">
        <f>IF($A20="","",CONCATENATE("Int: ",HLOOKUP($A20,CHARMS!$A$6:$CQ$89,75,),CHAR(10),"Ext : ",HLOOKUP($A20,CHARMS!$A$6:$CQ$89,76,)))</f>
        <v>Int: Random split data
Ext : None</v>
      </c>
      <c r="M20" s="373" t="str">
        <f>IF($A20="","",CONCATENATE("Cal: ",HLOOKUP($A20,CHARMS!$A$6:$CQ$89,53,),CHAR(10),"Disc : ",HLOOKUP($A20,CHARMS!$A$6:$CQ$89,59,),CHAR(10),"Ov: ",HLOOKUP($A20,CHARMS!$A$6:$CQ$89,66,)))</f>
        <v>Cal: Calibration plot / HL test 
Disc : C-Statistic / AUC graph 
Ov: Not evaluated</v>
      </c>
      <c r="N20" s="136" t="s">
        <v>31</v>
      </c>
      <c r="O20" s="137" t="str">
        <f>_xlfn.IFNA(IF(HLOOKUP($A20,PROBAST!$A$6:$AE$77,11,)="Low RoB","+",IF(HLOOKUP($A20,PROBAST!$A$6:$AE$77,11,)="High RoB","-",IF(HLOOKUP($A20,PROBAST!$A$6:$AE$77,11,)="Unclear","?",""))),"")</f>
        <v>+</v>
      </c>
      <c r="P20" s="137" t="str">
        <f>_xlfn.IFNA(IF(HLOOKUP($A20,PROBAST!$A$6:$AE$77,25,)="Low RoB","+",IF(HLOOKUP($A20,PROBAST!$A$6:$AE$77,25,)="High RoB","-",IF(HLOOKUP($A20,PROBAST!$A$6:$AE$77,25,)="Unclear","?",""))),"")</f>
        <v>+</v>
      </c>
      <c r="Q20" s="137" t="str">
        <f>_xlfn.IFNA(IF(HLOOKUP($A20,PROBAST!$A$6:$AE$77,39,)="Low RoB","+",IF(HLOOKUP($A20,PROBAST!$A$6:$AE$77,39,)="High RoB","-",IF(HLOOKUP($A20,PROBAST!$A$6:$AE$77,39,)="Unclear","?",""))),"")</f>
        <v>+</v>
      </c>
      <c r="R20" s="138" t="str">
        <f>_xlfn.IFNA(IF(HLOOKUP($A20,PROBAST!$A$6:$AE$77,58,)="Low RoB","+",IF(HLOOKUP($A20,PROBAST!$A$6:$AE$77,58,)="High RoB","-",IF(HLOOKUP($A20,PROBAST!$A$6:$AE$77,58,)="Unclear","?",""))),"")</f>
        <v>-</v>
      </c>
      <c r="S20" s="139"/>
      <c r="T20" s="139"/>
      <c r="U20" s="139"/>
      <c r="V20" s="139"/>
      <c r="W20" s="139"/>
    </row>
    <row r="21" spans="1:23" ht="22.5" customHeight="1" thickBot="1" x14ac:dyDescent="0.35">
      <c r="A21" s="377"/>
      <c r="B21" s="379"/>
      <c r="C21" s="372"/>
      <c r="D21" s="376"/>
      <c r="E21" s="372"/>
      <c r="F21" s="372"/>
      <c r="G21" s="372"/>
      <c r="H21" s="374"/>
      <c r="I21" s="372"/>
      <c r="J21" s="372"/>
      <c r="K21" s="381"/>
      <c r="L21" s="374"/>
      <c r="M21" s="374"/>
      <c r="N21" s="141" t="s">
        <v>30</v>
      </c>
      <c r="O21" s="142" t="str">
        <f>_xlfn.IFNA(IF(HLOOKUP($A20,PROBAST!$A$6:$AE$77,12,)="Low concern","+",IF(HLOOKUP($A20,PROBAST!$A$6:$AE$77,12,)="High concern","-",IF(HLOOKUP($A20,PROBAST!$A$6:$AE$77,12,)="Unclear","?",""))),"")</f>
        <v>+</v>
      </c>
      <c r="P21" s="142" t="str">
        <f>_xlfn.IFNA(IF(HLOOKUP($A20,PROBAST!$A$6:$AE$77,26,)="Low concern","+",IF(HLOOKUP($A20,PROBAST!$A$6:$AE$77,26,)="High concern","-",IF(HLOOKUP($A20,PROBAST!$A$6:$AE$77,26,)="Unclear","?",""))),"")</f>
        <v>+</v>
      </c>
      <c r="Q21" s="142" t="str">
        <f>_xlfn.IFNA(IF(HLOOKUP($A20,PROBAST!$A$6:$AE$77,40,)="Low concern","+",IF(HLOOKUP($A20,PROBAST!$A$6:$AE$77,40,)="High concern","-",IF(HLOOKUP($A20,PROBAST!$A$6:$AE$77,40,)="Unclear","?",""))),"")</f>
        <v>+</v>
      </c>
      <c r="R21" s="143"/>
    </row>
    <row r="22" spans="1:23" s="140" customFormat="1" ht="22.5" customHeight="1" x14ac:dyDescent="0.3">
      <c r="A22" s="377" t="str">
        <f>CHARMS!AD$6</f>
        <v>Hurley et al., 2021</v>
      </c>
      <c r="B22" s="378" t="str">
        <f>HLOOKUP($A22,CHARMS!$A$6:$CQ$89,1,)</f>
        <v>Hurley et al., 2021</v>
      </c>
      <c r="C22" s="371" t="str">
        <f>IF($A22="","",HLOOKUP($A22,CHARMS!$A$6:$CQ$89,48,))</f>
        <v>XGBoost</v>
      </c>
      <c r="D22" s="375">
        <f>IF($A22="","",IF(HLOOKUP($A22,CHARMS!$A$6:$CQ$89,40,)=0,"Unkown",HLOOKUP($A22,CHARMS!$A$6:$CQ$89,40,)))</f>
        <v>2868808</v>
      </c>
      <c r="E22" s="371" t="str">
        <f>IF($A22="","",IF(HLOOKUP($A22,CHARMS!$A$6:$CQ$89,40,)=0,"Unkown",CONCATENATE(HLOOKUP($A22,CHARMS!$A$6:$CQ$89,41,)," (",FIXED((HLOOKUP($A22,CHARMS!$A$6:$CQ$89,41,)/HLOOKUP($A22,CHARMS!$A$6:$CQ$89,40,))*100,1),")")))</f>
        <v>118327 (4.1)</v>
      </c>
      <c r="F22" s="371" t="str">
        <f>IF($A22="","",IF(HLOOKUP($A22,CHARMS!$A$6:$CQ$89,33,)=0,"Unkown",HLOOKUP($A22,CHARMS!$A$6:$CQ$89,33,)))</f>
        <v>Unkown</v>
      </c>
      <c r="G22" s="371" t="str">
        <f>IF($A22="","",HLOOKUP($A22,CHARMS!$A$6:$CQ$89,79,))</f>
        <v>Unknown</v>
      </c>
      <c r="H22" s="373" t="str">
        <f>IF($A22="","",HLOOKUP($A22,CHARMS!$A$6:$CQ$89,43,))</f>
        <v>Unknown</v>
      </c>
      <c r="I22" s="371" t="str">
        <f>IF($A22="","",HLOOKUP($A22,CHARMS!$A$6:$CQ$89,49,))</f>
        <v>Unclear</v>
      </c>
      <c r="J22" s="371" t="str">
        <f>IF($A22="","",HLOOKUP($A22,CHARMS!$A$6:$CQ$89,50,))</f>
        <v>No information</v>
      </c>
      <c r="K22" s="371" t="str">
        <f>CONCATENATE(IF($A22="","",IF(OR(HLOOKUP($A22,CHARMS!$A$6:$CQ$89,40,)=0,ISTEXT(HLOOKUP($A22,CHARMS!$A$6:$CQ$89,45,))),"n (%): Unkown",CONCATENATE("n (%): ",HLOOKUP($A22,CHARMS!$A$6:$CQ$89,45,)," (",FIXED((HLOOKUP($A22,CHARMS!$A$6:$CQ$89,45,)/HLOOKUP($A22,CHARMS!$A$6:$CQ$89,40,))*100,1),")"))),CHAR(10),IF($A22="","",CONCATENATE("Method: ",HLOOKUP($A22,CHARMS!$A$6:$CQ$89,46,))))</f>
        <v>n (%): Unkown
Method: Multiple imputation</v>
      </c>
      <c r="L22" s="373" t="str">
        <f>IF($A22="","",CONCATENATE("Int: ",HLOOKUP($A22,CHARMS!$A$6:$CQ$89,75,),CHAR(10),"Ext : ",HLOOKUP($A22,CHARMS!$A$6:$CQ$89,76,)))</f>
        <v>Int: Non-random split data
Ext : None</v>
      </c>
      <c r="M22" s="373" t="str">
        <f>IF($A22="","",CONCATENATE("Cal: ",HLOOKUP($A22,CHARMS!$A$6:$CQ$89,53,),CHAR(10),"Disc : ",HLOOKUP($A22,CHARMS!$A$6:$CQ$89,59,),CHAR(10),"Ov: ",HLOOKUP($A22,CHARMS!$A$6:$CQ$89,66,)))</f>
        <v xml:space="preserve">Cal: Calibration plot 
Disc : C-Statistic 
Ov: Brier score </v>
      </c>
      <c r="N22" s="136" t="s">
        <v>31</v>
      </c>
      <c r="O22" s="137" t="str">
        <f>_xlfn.IFNA(IF(HLOOKUP($A22,PROBAST!$A$6:$AE$77,11,)="Low RoB","+",IF(HLOOKUP($A22,PROBAST!$A$6:$AE$77,11,)="High RoB","-",IF(HLOOKUP($A22,PROBAST!$A$6:$AE$77,11,)="Unclear","?",""))),"")</f>
        <v>+</v>
      </c>
      <c r="P22" s="137" t="str">
        <f>_xlfn.IFNA(IF(HLOOKUP($A22,PROBAST!$A$6:$AE$77,25,)="Low RoB","+",IF(HLOOKUP($A22,PROBAST!$A$6:$AE$77,25,)="High RoB","-",IF(HLOOKUP($A22,PROBAST!$A$6:$AE$77,25,)="Unclear","?",""))),"")</f>
        <v>+</v>
      </c>
      <c r="Q22" s="137" t="str">
        <f>_xlfn.IFNA(IF(HLOOKUP($A22,PROBAST!$A$6:$AE$77,39,)="Low RoB","+",IF(HLOOKUP($A22,PROBAST!$A$6:$AE$77,39,)="High RoB","-",IF(HLOOKUP($A22,PROBAST!$A$6:$AE$77,39,)="Unclear","?",""))),"")</f>
        <v>+</v>
      </c>
      <c r="R22" s="138" t="str">
        <f>_xlfn.IFNA(IF(HLOOKUP($A22,PROBAST!$A$6:$AE$77,58,)="Low RoB","+",IF(HLOOKUP($A22,PROBAST!$A$6:$AE$77,58,)="High RoB","-",IF(HLOOKUP($A22,PROBAST!$A$6:$AE$77,58,)="Unclear","?",""))),"")</f>
        <v>?</v>
      </c>
      <c r="S22" s="139"/>
      <c r="T22" s="139"/>
      <c r="U22" s="139"/>
      <c r="V22" s="139"/>
      <c r="W22" s="139"/>
    </row>
    <row r="23" spans="1:23" ht="22.5" customHeight="1" thickBot="1" x14ac:dyDescent="0.35">
      <c r="A23" s="377"/>
      <c r="B23" s="379"/>
      <c r="C23" s="372"/>
      <c r="D23" s="376"/>
      <c r="E23" s="372"/>
      <c r="F23" s="372"/>
      <c r="G23" s="372"/>
      <c r="H23" s="374"/>
      <c r="I23" s="372"/>
      <c r="J23" s="372"/>
      <c r="K23" s="381"/>
      <c r="L23" s="374"/>
      <c r="M23" s="374"/>
      <c r="N23" s="141" t="s">
        <v>30</v>
      </c>
      <c r="O23" s="142" t="str">
        <f>_xlfn.IFNA(IF(HLOOKUP($A22,PROBAST!$A$6:$AE$77,12,)="Low concern","+",IF(HLOOKUP($A22,PROBAST!$A$6:$AE$77,12,)="High concern","-",IF(HLOOKUP($A22,PROBAST!$A$6:$AE$77,12,)="Unclear","?",""))),"")</f>
        <v>+</v>
      </c>
      <c r="P23" s="142" t="str">
        <f>_xlfn.IFNA(IF(HLOOKUP($A22,PROBAST!$A$6:$AE$77,26,)="Low concern","+",IF(HLOOKUP($A22,PROBAST!$A$6:$AE$77,26,)="High concern","-",IF(HLOOKUP($A22,PROBAST!$A$6:$AE$77,26,)="Unclear","?",""))),"")</f>
        <v>+</v>
      </c>
      <c r="Q23" s="142" t="str">
        <f>_xlfn.IFNA(IF(HLOOKUP($A22,PROBAST!$A$6:$AE$77,40,)="Low concern","+",IF(HLOOKUP($A22,PROBAST!$A$6:$AE$77,40,)="High concern","-",IF(HLOOKUP($A22,PROBAST!$A$6:$AE$77,40,)="Unclear","?",""))),"")</f>
        <v>+</v>
      </c>
      <c r="R23" s="143"/>
    </row>
    <row r="24" spans="1:23" s="140" customFormat="1" ht="22.5" customHeight="1" x14ac:dyDescent="0.3">
      <c r="A24" s="377" t="str">
        <f>CHARMS!AG$6</f>
        <v/>
      </c>
      <c r="B24" s="378" t="str">
        <f>HLOOKUP($A24,CHARMS!$A$6:$CQ$89,1,)</f>
        <v/>
      </c>
      <c r="C24" s="371" t="str">
        <f>IF($A24="","",HLOOKUP($A24,CHARMS!$A$6:$CQ$89,48,))</f>
        <v/>
      </c>
      <c r="D24" s="375" t="str">
        <f>IF($A24="","",IF(HLOOKUP($A24,CHARMS!$A$6:$CQ$89,40,)=0,"Unkown",HLOOKUP($A24,CHARMS!$A$6:$CQ$89,40,)))</f>
        <v/>
      </c>
      <c r="E24" s="371" t="str">
        <f>IF($A24="","",IF(HLOOKUP($A24,CHARMS!$A$6:$CQ$89,40,)=0,"Unkown",CONCATENATE(HLOOKUP($A24,CHARMS!$A$6:$CQ$89,41,)," (",FIXED((HLOOKUP($A24,CHARMS!$A$6:$CQ$89,41,)/HLOOKUP($A24,CHARMS!$A$6:$CQ$89,40,))*100,1),")")))</f>
        <v/>
      </c>
      <c r="F24" s="371" t="str">
        <f>IF($A24="","",IF(HLOOKUP($A24,CHARMS!$A$6:$CQ$89,33,)=0,"Unkown",HLOOKUP($A24,CHARMS!$A$6:$CQ$89,33,)))</f>
        <v/>
      </c>
      <c r="G24" s="371" t="str">
        <f>IF($A24="","",HLOOKUP($A24,CHARMS!$A$6:$CQ$89,79,))</f>
        <v/>
      </c>
      <c r="H24" s="373" t="str">
        <f>IF($A24="","",HLOOKUP($A24,CHARMS!$A$6:$CQ$89,43,))</f>
        <v/>
      </c>
      <c r="I24" s="371" t="str">
        <f>IF($A24="","",HLOOKUP($A24,CHARMS!$A$6:$CQ$89,49,))</f>
        <v/>
      </c>
      <c r="J24" s="371" t="str">
        <f>IF($A24="","",HLOOKUP($A24,CHARMS!$A$6:$CQ$89,50,))</f>
        <v/>
      </c>
      <c r="K24" s="371" t="str">
        <f>CONCATENATE(IF($A24="","",IF(OR(HLOOKUP($A24,CHARMS!$A$6:$CQ$89,40,)=0,ISTEXT(HLOOKUP($A24,CHARMS!$A$6:$CQ$89,45,))),"n (%): Unkown",CONCATENATE("n (%): ",HLOOKUP($A24,CHARMS!$A$6:$CQ$89,45,)," (",FIXED((HLOOKUP($A24,CHARMS!$A$6:$CQ$89,45,)/HLOOKUP($A24,CHARMS!$A$6:$CQ$89,40,))*100,1),")"))),CHAR(10),IF($A24="","",CONCATENATE("Method: ",HLOOKUP($A24,CHARMS!$A$6:$CQ$89,46,))))</f>
        <v xml:space="preserve">
</v>
      </c>
      <c r="L24" s="373" t="str">
        <f>IF($A24="","",CONCATENATE("Int: ",HLOOKUP($A24,CHARMS!$A$6:$CQ$89,75,),CHAR(10),"Ext : ",HLOOKUP($A24,CHARMS!$A$6:$CQ$89,76,)))</f>
        <v/>
      </c>
      <c r="M24" s="373" t="str">
        <f>IF($A24="","",CONCATENATE("Cal: ",HLOOKUP($A24,CHARMS!$A$6:$CQ$89,53,),CHAR(10),"Disc : ",HLOOKUP($A24,CHARMS!$A$6:$CQ$89,59,),CHAR(10),"Ov: ",HLOOKUP($A24,CHARMS!$A$6:$CQ$89,66,)))</f>
        <v/>
      </c>
      <c r="N24" s="136" t="s">
        <v>31</v>
      </c>
      <c r="O24" s="137" t="str">
        <f>_xlfn.IFNA(IF(HLOOKUP($A24,PROBAST!$A$6:$AE$77,11,)="Low RoB","+",IF(HLOOKUP($A24,PROBAST!$A$6:$AE$77,11,)="High RoB","-",IF(HLOOKUP($A24,PROBAST!$A$6:$AE$77,11,)="Unclear","?",""))),"")</f>
        <v>+</v>
      </c>
      <c r="P24" s="137" t="str">
        <f>_xlfn.IFNA(IF(HLOOKUP($A24,PROBAST!$A$6:$AE$77,25,)="Low RoB","+",IF(HLOOKUP($A24,PROBAST!$A$6:$AE$77,25,)="High RoB","-",IF(HLOOKUP($A24,PROBAST!$A$6:$AE$77,25,)="Unclear","?",""))),"")</f>
        <v>+</v>
      </c>
      <c r="Q24" s="137" t="str">
        <f>_xlfn.IFNA(IF(HLOOKUP($A24,PROBAST!$A$6:$AE$77,39,)="Low RoB","+",IF(HLOOKUP($A24,PROBAST!$A$6:$AE$77,39,)="High RoB","-",IF(HLOOKUP($A24,PROBAST!$A$6:$AE$77,39,)="Unclear","?",""))),"")</f>
        <v>+</v>
      </c>
      <c r="R24" s="138" t="str">
        <f>_xlfn.IFNA(IF(HLOOKUP($A24,PROBAST!$A$6:$AE$77,58,)="Low RoB","+",IF(HLOOKUP($A24,PROBAST!$A$6:$AE$77,58,)="High RoB","-",IF(HLOOKUP($A24,PROBAST!$A$6:$AE$77,58,)="Unclear","?",""))),"")</f>
        <v>+</v>
      </c>
      <c r="S24" s="139"/>
      <c r="T24" s="139"/>
      <c r="U24" s="139"/>
      <c r="V24" s="139"/>
      <c r="W24" s="139"/>
    </row>
    <row r="25" spans="1:23" ht="22.5" customHeight="1" thickBot="1" x14ac:dyDescent="0.35">
      <c r="A25" s="377"/>
      <c r="B25" s="379"/>
      <c r="C25" s="372"/>
      <c r="D25" s="376"/>
      <c r="E25" s="372"/>
      <c r="F25" s="372"/>
      <c r="G25" s="372"/>
      <c r="H25" s="374"/>
      <c r="I25" s="372"/>
      <c r="J25" s="372"/>
      <c r="K25" s="381"/>
      <c r="L25" s="374"/>
      <c r="M25" s="374"/>
      <c r="N25" s="141" t="s">
        <v>30</v>
      </c>
      <c r="O25" s="142" t="str">
        <f>_xlfn.IFNA(IF(HLOOKUP($A24,PROBAST!$A$6:$AE$77,12,)="Low concern","+",IF(HLOOKUP($A24,PROBAST!$A$6:$AE$77,12,)="High concern","-",IF(HLOOKUP($A24,PROBAST!$A$6:$AE$77,12,)="Unclear","?",""))),"")</f>
        <v>+</v>
      </c>
      <c r="P25" s="142" t="str">
        <f>_xlfn.IFNA(IF(HLOOKUP($A24,PROBAST!$A$6:$AE$77,26,)="Low concern","+",IF(HLOOKUP($A24,PROBAST!$A$6:$AE$77,26,)="High concern","-",IF(HLOOKUP($A24,PROBAST!$A$6:$AE$77,26,)="Unclear","?",""))),"")</f>
        <v>?</v>
      </c>
      <c r="Q25" s="142" t="str">
        <f>_xlfn.IFNA(IF(HLOOKUP($A24,PROBAST!$A$6:$AE$77,40,)="Low concern","+",IF(HLOOKUP($A24,PROBAST!$A$6:$AE$77,40,)="High concern","-",IF(HLOOKUP($A24,PROBAST!$A$6:$AE$77,40,)="Unclear","?",""))),"")</f>
        <v>+</v>
      </c>
      <c r="R25" s="143"/>
    </row>
    <row r="26" spans="1:23" s="140" customFormat="1" ht="22.5" customHeight="1" x14ac:dyDescent="0.3">
      <c r="A26" s="377" t="str">
        <f>CHARMS!AJ$6</f>
        <v/>
      </c>
      <c r="B26" s="378" t="str">
        <f>HLOOKUP($A26,CHARMS!$A$6:$CQ$89,1,)</f>
        <v/>
      </c>
      <c r="C26" s="371" t="str">
        <f>IF($A26="","",HLOOKUP($A26,CHARMS!$A$6:$CQ$89,48,))</f>
        <v/>
      </c>
      <c r="D26" s="375" t="str">
        <f>IF($A26="","",IF(HLOOKUP($A26,CHARMS!$A$6:$CQ$89,40,)=0,"Unkown",HLOOKUP($A26,CHARMS!$A$6:$CQ$89,40,)))</f>
        <v/>
      </c>
      <c r="E26" s="371" t="str">
        <f>IF($A26="","",IF(HLOOKUP($A26,CHARMS!$A$6:$CQ$89,40,)=0,"Unkown",CONCATENATE(HLOOKUP($A26,CHARMS!$A$6:$CQ$89,41,)," (",FIXED((HLOOKUP($A26,CHARMS!$A$6:$CQ$89,41,)/HLOOKUP($A26,CHARMS!$A$6:$CQ$89,40,))*100,1),")")))</f>
        <v/>
      </c>
      <c r="F26" s="371" t="str">
        <f>IF($A26="","",IF(HLOOKUP($A26,CHARMS!$A$6:$CQ$89,33,)=0,"Unkown",HLOOKUP($A26,CHARMS!$A$6:$CQ$89,33,)))</f>
        <v/>
      </c>
      <c r="G26" s="371" t="str">
        <f>IF($A26="","",HLOOKUP($A26,CHARMS!$A$6:$CQ$89,79,))</f>
        <v/>
      </c>
      <c r="H26" s="373" t="str">
        <f>IF($A26="","",HLOOKUP($A26,CHARMS!$A$6:$CQ$89,43,))</f>
        <v/>
      </c>
      <c r="I26" s="371" t="str">
        <f>IF($A26="","",HLOOKUP($A26,CHARMS!$A$6:$CQ$89,49,))</f>
        <v/>
      </c>
      <c r="J26" s="371" t="str">
        <f>IF($A26="","",HLOOKUP($A26,CHARMS!$A$6:$CQ$89,50,))</f>
        <v/>
      </c>
      <c r="K26" s="371" t="str">
        <f>CONCATENATE(IF($A26="","",IF(OR(HLOOKUP($A26,CHARMS!$A$6:$CQ$89,40,)=0,ISTEXT(HLOOKUP($A26,CHARMS!$A$6:$CQ$89,45,))),"n (%): Unkown",CONCATENATE("n (%): ",HLOOKUP($A26,CHARMS!$A$6:$CQ$89,45,)," (",FIXED((HLOOKUP($A26,CHARMS!$A$6:$CQ$89,45,)/HLOOKUP($A26,CHARMS!$A$6:$CQ$89,40,))*100,1),")"))),CHAR(10),IF($A26="","",CONCATENATE("Method: ",HLOOKUP($A26,CHARMS!$A$6:$CQ$89,46,))))</f>
        <v xml:space="preserve">
</v>
      </c>
      <c r="L26" s="373" t="str">
        <f>IF($A26="","",CONCATENATE("Int: ",HLOOKUP($A26,CHARMS!$A$6:$CQ$89,75,),CHAR(10),"Ext : ",HLOOKUP($A26,CHARMS!$A$6:$CQ$89,76,)))</f>
        <v/>
      </c>
      <c r="M26" s="373" t="str">
        <f>IF($A26="","",CONCATENATE("Cal: ",HLOOKUP($A26,CHARMS!$A$6:$CQ$89,53,),CHAR(10),"Disc : ",HLOOKUP($A26,CHARMS!$A$6:$CQ$89,59,),CHAR(10),"Ov: ",HLOOKUP($A26,CHARMS!$A$6:$CQ$89,66,)))</f>
        <v/>
      </c>
      <c r="N26" s="136" t="s">
        <v>31</v>
      </c>
      <c r="O26" s="137" t="str">
        <f>_xlfn.IFNA(IF(HLOOKUP($A26,PROBAST!$A$6:$AE$77,11,)="Low RoB","+",IF(HLOOKUP($A26,PROBAST!$A$6:$AE$77,11,)="High RoB","-",IF(HLOOKUP($A26,PROBAST!$A$6:$AE$77,11,)="Unclear","?",""))),"")</f>
        <v>+</v>
      </c>
      <c r="P26" s="137" t="str">
        <f>_xlfn.IFNA(IF(HLOOKUP($A26,PROBAST!$A$6:$AE$77,25,)="Low RoB","+",IF(HLOOKUP($A26,PROBAST!$A$6:$AE$77,25,)="High RoB","-",IF(HLOOKUP($A26,PROBAST!$A$6:$AE$77,25,)="Unclear","?",""))),"")</f>
        <v>+</v>
      </c>
      <c r="Q26" s="137" t="str">
        <f>_xlfn.IFNA(IF(HLOOKUP($A26,PROBAST!$A$6:$AE$77,39,)="Low RoB","+",IF(HLOOKUP($A26,PROBAST!$A$6:$AE$77,39,)="High RoB","-",IF(HLOOKUP($A26,PROBAST!$A$6:$AE$77,39,)="Unclear","?",""))),"")</f>
        <v>+</v>
      </c>
      <c r="R26" s="138" t="str">
        <f>_xlfn.IFNA(IF(HLOOKUP($A26,PROBAST!$A$6:$AE$77,58,)="Low RoB","+",IF(HLOOKUP($A26,PROBAST!$A$6:$AE$77,58,)="High RoB","-",IF(HLOOKUP($A26,PROBAST!$A$6:$AE$77,58,)="Unclear","?",""))),"")</f>
        <v>+</v>
      </c>
      <c r="S26" s="139"/>
      <c r="T26" s="139"/>
      <c r="U26" s="139"/>
      <c r="V26" s="139"/>
      <c r="W26" s="139"/>
    </row>
    <row r="27" spans="1:23" ht="22.5" customHeight="1" thickBot="1" x14ac:dyDescent="0.35">
      <c r="A27" s="377"/>
      <c r="B27" s="379"/>
      <c r="C27" s="372"/>
      <c r="D27" s="376"/>
      <c r="E27" s="372"/>
      <c r="F27" s="372"/>
      <c r="G27" s="372"/>
      <c r="H27" s="374"/>
      <c r="I27" s="372"/>
      <c r="J27" s="372"/>
      <c r="K27" s="381"/>
      <c r="L27" s="374"/>
      <c r="M27" s="374"/>
      <c r="N27" s="141" t="s">
        <v>30</v>
      </c>
      <c r="O27" s="142" t="str">
        <f>_xlfn.IFNA(IF(HLOOKUP($A26,PROBAST!$A$6:$AE$77,12,)="Low concern","+",IF(HLOOKUP($A26,PROBAST!$A$6:$AE$77,12,)="High concern","-",IF(HLOOKUP($A26,PROBAST!$A$6:$AE$77,12,)="Unclear","?",""))),"")</f>
        <v>+</v>
      </c>
      <c r="P27" s="142" t="str">
        <f>_xlfn.IFNA(IF(HLOOKUP($A26,PROBAST!$A$6:$AE$77,26,)="Low concern","+",IF(HLOOKUP($A26,PROBAST!$A$6:$AE$77,26,)="High concern","-",IF(HLOOKUP($A26,PROBAST!$A$6:$AE$77,26,)="Unclear","?",""))),"")</f>
        <v>?</v>
      </c>
      <c r="Q27" s="142" t="str">
        <f>_xlfn.IFNA(IF(HLOOKUP($A26,PROBAST!$A$6:$AE$77,40,)="Low concern","+",IF(HLOOKUP($A26,PROBAST!$A$6:$AE$77,40,)="High concern","-",IF(HLOOKUP($A26,PROBAST!$A$6:$AE$77,40,)="Unclear","?",""))),"")</f>
        <v>+</v>
      </c>
      <c r="R27" s="143"/>
    </row>
    <row r="28" spans="1:23" s="140" customFormat="1" ht="22.5" customHeight="1" x14ac:dyDescent="0.3">
      <c r="A28" s="377" t="str">
        <f>CHARMS!AM$6</f>
        <v/>
      </c>
      <c r="B28" s="378" t="str">
        <f>HLOOKUP($A28,CHARMS!$A$6:$CQ$89,1,)</f>
        <v/>
      </c>
      <c r="C28" s="371" t="str">
        <f>IF($A28="","",HLOOKUP($A28,CHARMS!$A$6:$CQ$89,48,))</f>
        <v/>
      </c>
      <c r="D28" s="375" t="str">
        <f>IF($A28="","",IF(HLOOKUP($A28,CHARMS!$A$6:$CQ$89,40,)=0,"Unkown",HLOOKUP($A28,CHARMS!$A$6:$CQ$89,40,)))</f>
        <v/>
      </c>
      <c r="E28" s="371" t="str">
        <f>IF($A28="","",IF(HLOOKUP($A28,CHARMS!$A$6:$CQ$89,40,)=0,"Unkown",CONCATENATE(HLOOKUP($A28,CHARMS!$A$6:$CQ$89,41,)," (",FIXED((HLOOKUP($A28,CHARMS!$A$6:$CQ$89,41,)/HLOOKUP($A28,CHARMS!$A$6:$CQ$89,40,))*100,1),")")))</f>
        <v/>
      </c>
      <c r="F28" s="371" t="str">
        <f>IF($A28="","",IF(HLOOKUP($A28,CHARMS!$A$6:$CQ$89,33,)=0,"Unkown",HLOOKUP($A28,CHARMS!$A$6:$CQ$89,33,)))</f>
        <v/>
      </c>
      <c r="G28" s="371" t="str">
        <f>IF($A28="","",HLOOKUP($A28,CHARMS!$A$6:$CQ$89,79,))</f>
        <v/>
      </c>
      <c r="H28" s="373" t="str">
        <f>IF($A28="","",HLOOKUP($A28,CHARMS!$A$6:$CQ$89,43,))</f>
        <v/>
      </c>
      <c r="I28" s="371" t="str">
        <f>IF($A28="","",HLOOKUP($A28,CHARMS!$A$6:$CQ$89,49,))</f>
        <v/>
      </c>
      <c r="J28" s="371" t="str">
        <f>IF($A28="","",HLOOKUP($A28,CHARMS!$A$6:$CQ$89,50,))</f>
        <v/>
      </c>
      <c r="K28" s="371" t="str">
        <f>CONCATENATE(IF($A28="","",IF(OR(HLOOKUP($A28,CHARMS!$A$6:$CQ$89,40,)=0,ISTEXT(HLOOKUP($A28,CHARMS!$A$6:$CQ$89,45,))),"n (%): Unkown",CONCATENATE("n (%): ",HLOOKUP($A28,CHARMS!$A$6:$CQ$89,45,)," (",FIXED((HLOOKUP($A28,CHARMS!$A$6:$CQ$89,45,)/HLOOKUP($A28,CHARMS!$A$6:$CQ$89,40,))*100,1),")"))),CHAR(10),IF($A28="","",CONCATENATE("Method: ",HLOOKUP($A28,CHARMS!$A$6:$CQ$89,46,))))</f>
        <v xml:space="preserve">
</v>
      </c>
      <c r="L28" s="373" t="str">
        <f>IF($A28="","",CONCATENATE("Int: ",HLOOKUP($A28,CHARMS!$A$6:$CQ$89,75,),CHAR(10),"Ext : ",HLOOKUP($A28,CHARMS!$A$6:$CQ$89,76,)))</f>
        <v/>
      </c>
      <c r="M28" s="373" t="str">
        <f>IF($A28="","",CONCATENATE("Cal: ",HLOOKUP($A28,CHARMS!$A$6:$CQ$89,53,),CHAR(10),"Disc : ",HLOOKUP($A28,CHARMS!$A$6:$CQ$89,59,),CHAR(10),"Ov: ",HLOOKUP($A28,CHARMS!$A$6:$CQ$89,66,)))</f>
        <v/>
      </c>
      <c r="N28" s="136" t="s">
        <v>31</v>
      </c>
      <c r="O28" s="137" t="str">
        <f>_xlfn.IFNA(IF(HLOOKUP($A28,PROBAST!$A$6:$AE$77,11,)="Low RoB","+",IF(HLOOKUP($A28,PROBAST!$A$6:$AE$77,11,)="High RoB","-",IF(HLOOKUP($A28,PROBAST!$A$6:$AE$77,11,)="Unclear","?",""))),"")</f>
        <v>+</v>
      </c>
      <c r="P28" s="137" t="str">
        <f>_xlfn.IFNA(IF(HLOOKUP($A28,PROBAST!$A$6:$AE$77,25,)="Low RoB","+",IF(HLOOKUP($A28,PROBAST!$A$6:$AE$77,25,)="High RoB","-",IF(HLOOKUP($A28,PROBAST!$A$6:$AE$77,25,)="Unclear","?",""))),"")</f>
        <v>+</v>
      </c>
      <c r="Q28" s="137" t="str">
        <f>_xlfn.IFNA(IF(HLOOKUP($A28,PROBAST!$A$6:$AE$77,39,)="Low RoB","+",IF(HLOOKUP($A28,PROBAST!$A$6:$AE$77,39,)="High RoB","-",IF(HLOOKUP($A28,PROBAST!$A$6:$AE$77,39,)="Unclear","?",""))),"")</f>
        <v>+</v>
      </c>
      <c r="R28" s="138" t="str">
        <f>_xlfn.IFNA(IF(HLOOKUP($A28,PROBAST!$A$6:$AE$77,58,)="Low RoB","+",IF(HLOOKUP($A28,PROBAST!$A$6:$AE$77,58,)="High RoB","-",IF(HLOOKUP($A28,PROBAST!$A$6:$AE$77,58,)="Unclear","?",""))),"")</f>
        <v>+</v>
      </c>
      <c r="S28" s="139"/>
      <c r="T28" s="139"/>
      <c r="U28" s="139"/>
      <c r="V28" s="139"/>
      <c r="W28" s="139"/>
    </row>
    <row r="29" spans="1:23" ht="22.5" customHeight="1" thickBot="1" x14ac:dyDescent="0.35">
      <c r="A29" s="377"/>
      <c r="B29" s="379"/>
      <c r="C29" s="372"/>
      <c r="D29" s="376"/>
      <c r="E29" s="372"/>
      <c r="F29" s="372"/>
      <c r="G29" s="372"/>
      <c r="H29" s="374"/>
      <c r="I29" s="372"/>
      <c r="J29" s="372"/>
      <c r="K29" s="381"/>
      <c r="L29" s="374"/>
      <c r="M29" s="374"/>
      <c r="N29" s="141" t="s">
        <v>30</v>
      </c>
      <c r="O29" s="142" t="str">
        <f>_xlfn.IFNA(IF(HLOOKUP($A28,PROBAST!$A$6:$AE$77,12,)="Low concern","+",IF(HLOOKUP($A28,PROBAST!$A$6:$AE$77,12,)="High concern","-",IF(HLOOKUP($A28,PROBAST!$A$6:$AE$77,12,)="Unclear","?",""))),"")</f>
        <v>+</v>
      </c>
      <c r="P29" s="142" t="str">
        <f>_xlfn.IFNA(IF(HLOOKUP($A28,PROBAST!$A$6:$AE$77,26,)="Low concern","+",IF(HLOOKUP($A28,PROBAST!$A$6:$AE$77,26,)="High concern","-",IF(HLOOKUP($A28,PROBAST!$A$6:$AE$77,26,)="Unclear","?",""))),"")</f>
        <v>?</v>
      </c>
      <c r="Q29" s="142" t="str">
        <f>_xlfn.IFNA(IF(HLOOKUP($A28,PROBAST!$A$6:$AE$77,40,)="Low concern","+",IF(HLOOKUP($A28,PROBAST!$A$6:$AE$77,40,)="High concern","-",IF(HLOOKUP($A28,PROBAST!$A$6:$AE$77,40,)="Unclear","?",""))),"")</f>
        <v>+</v>
      </c>
      <c r="R29" s="143"/>
    </row>
    <row r="30" spans="1:23" s="140" customFormat="1" ht="22.5" customHeight="1" x14ac:dyDescent="0.3">
      <c r="A30" s="377" t="str">
        <f>CHARMS!AP$6</f>
        <v/>
      </c>
      <c r="B30" s="378" t="str">
        <f>HLOOKUP($A30,CHARMS!$A$6:$CQ$89,1,)</f>
        <v/>
      </c>
      <c r="C30" s="371" t="str">
        <f>IF($A30="","",HLOOKUP($A30,CHARMS!$A$6:$CQ$89,48,))</f>
        <v/>
      </c>
      <c r="D30" s="375" t="str">
        <f>IF($A30="","",IF(HLOOKUP($A30,CHARMS!$A$6:$CQ$89,40,)=0,"Unkown",HLOOKUP($A30,CHARMS!$A$6:$CQ$89,40,)))</f>
        <v/>
      </c>
      <c r="E30" s="371" t="str">
        <f>IF($A30="","",IF(HLOOKUP($A30,CHARMS!$A$6:$CQ$89,40,)=0,"Unkown",CONCATENATE(HLOOKUP($A30,CHARMS!$A$6:$CQ$89,41,)," (",FIXED((HLOOKUP($A30,CHARMS!$A$6:$CQ$89,41,)/HLOOKUP($A30,CHARMS!$A$6:$CQ$89,40,))*100,1),")")))</f>
        <v/>
      </c>
      <c r="F30" s="371" t="str">
        <f>IF($A30="","",IF(HLOOKUP($A30,CHARMS!$A$6:$CQ$89,33,)=0,"Unkown",HLOOKUP($A30,CHARMS!$A$6:$CQ$89,33,)))</f>
        <v/>
      </c>
      <c r="G30" s="371" t="str">
        <f>IF($A30="","",HLOOKUP($A30,CHARMS!$A$6:$CQ$89,79,))</f>
        <v/>
      </c>
      <c r="H30" s="373" t="str">
        <f>IF($A30="","",HLOOKUP($A30,CHARMS!$A$6:$CQ$89,43,))</f>
        <v/>
      </c>
      <c r="I30" s="371" t="str">
        <f>IF($A30="","",HLOOKUP($A30,CHARMS!$A$6:$CQ$89,49,))</f>
        <v/>
      </c>
      <c r="J30" s="371" t="str">
        <f>IF($A30="","",HLOOKUP($A30,CHARMS!$A$6:$CQ$89,50,))</f>
        <v/>
      </c>
      <c r="K30" s="371" t="str">
        <f>CONCATENATE(IF($A30="","",IF(OR(HLOOKUP($A30,CHARMS!$A$6:$CQ$89,40,)=0,ISTEXT(HLOOKUP($A30,CHARMS!$A$6:$CQ$89,45,))),"n (%): Unkown",CONCATENATE("n (%): ",HLOOKUP($A30,CHARMS!$A$6:$CQ$89,45,)," (",FIXED((HLOOKUP($A30,CHARMS!$A$6:$CQ$89,45,)/HLOOKUP($A30,CHARMS!$A$6:$CQ$89,40,))*100,1),")"))),CHAR(10),IF($A30="","",CONCATENATE("Method: ",HLOOKUP($A30,CHARMS!$A$6:$CQ$89,46,))))</f>
        <v xml:space="preserve">
</v>
      </c>
      <c r="L30" s="373" t="str">
        <f>IF($A30="","",CONCATENATE("Int: ",HLOOKUP($A30,CHARMS!$A$6:$CQ$89,75,),CHAR(10),"Ext : ",HLOOKUP($A30,CHARMS!$A$6:$CQ$89,76,)))</f>
        <v/>
      </c>
      <c r="M30" s="373" t="str">
        <f>IF($A30="","",CONCATENATE("Cal: ",HLOOKUP($A30,CHARMS!$A$6:$CQ$89,53,),CHAR(10),"Disc : ",HLOOKUP($A30,CHARMS!$A$6:$CQ$89,59,),CHAR(10),"Ov: ",HLOOKUP($A30,CHARMS!$A$6:$CQ$89,66,)))</f>
        <v/>
      </c>
      <c r="N30" s="136" t="s">
        <v>31</v>
      </c>
      <c r="O30" s="137" t="str">
        <f>_xlfn.IFNA(IF(HLOOKUP($A30,PROBAST!$A$6:$AE$77,11,)="Low RoB","+",IF(HLOOKUP($A30,PROBAST!$A$6:$AE$77,11,)="High RoB","-",IF(HLOOKUP($A30,PROBAST!$A$6:$AE$77,11,)="Unclear","?",""))),"")</f>
        <v>+</v>
      </c>
      <c r="P30" s="137" t="str">
        <f>_xlfn.IFNA(IF(HLOOKUP($A30,PROBAST!$A$6:$AE$77,25,)="Low RoB","+",IF(HLOOKUP($A30,PROBAST!$A$6:$AE$77,25,)="High RoB","-",IF(HLOOKUP($A30,PROBAST!$A$6:$AE$77,25,)="Unclear","?",""))),"")</f>
        <v>+</v>
      </c>
      <c r="Q30" s="137" t="str">
        <f>_xlfn.IFNA(IF(HLOOKUP($A30,PROBAST!$A$6:$AE$77,39,)="Low RoB","+",IF(HLOOKUP($A30,PROBAST!$A$6:$AE$77,39,)="High RoB","-",IF(HLOOKUP($A30,PROBAST!$A$6:$AE$77,39,)="Unclear","?",""))),"")</f>
        <v>+</v>
      </c>
      <c r="R30" s="138" t="str">
        <f>_xlfn.IFNA(IF(HLOOKUP($A30,PROBAST!$A$6:$AE$77,58,)="Low RoB","+",IF(HLOOKUP($A30,PROBAST!$A$6:$AE$77,58,)="High RoB","-",IF(HLOOKUP($A30,PROBAST!$A$6:$AE$77,58,)="Unclear","?",""))),"")</f>
        <v>+</v>
      </c>
      <c r="S30" s="139"/>
      <c r="T30" s="139"/>
      <c r="U30" s="139"/>
      <c r="V30" s="139"/>
      <c r="W30" s="139"/>
    </row>
    <row r="31" spans="1:23" ht="22.5" customHeight="1" thickBot="1" x14ac:dyDescent="0.35">
      <c r="A31" s="377"/>
      <c r="B31" s="379"/>
      <c r="C31" s="372"/>
      <c r="D31" s="376"/>
      <c r="E31" s="372"/>
      <c r="F31" s="372"/>
      <c r="G31" s="372"/>
      <c r="H31" s="374"/>
      <c r="I31" s="372"/>
      <c r="J31" s="372"/>
      <c r="K31" s="381"/>
      <c r="L31" s="374"/>
      <c r="M31" s="374"/>
      <c r="N31" s="141" t="s">
        <v>30</v>
      </c>
      <c r="O31" s="142" t="str">
        <f>_xlfn.IFNA(IF(HLOOKUP($A30,PROBAST!$A$6:$AE$77,12,)="Low concern","+",IF(HLOOKUP($A30,PROBAST!$A$6:$AE$77,12,)="High concern","-",IF(HLOOKUP($A30,PROBAST!$A$6:$AE$77,12,)="Unclear","?",""))),"")</f>
        <v>+</v>
      </c>
      <c r="P31" s="142" t="str">
        <f>_xlfn.IFNA(IF(HLOOKUP($A30,PROBAST!$A$6:$AE$77,26,)="Low concern","+",IF(HLOOKUP($A30,PROBAST!$A$6:$AE$77,26,)="High concern","-",IF(HLOOKUP($A30,PROBAST!$A$6:$AE$77,26,)="Unclear","?",""))),"")</f>
        <v>?</v>
      </c>
      <c r="Q31" s="142" t="str">
        <f>_xlfn.IFNA(IF(HLOOKUP($A30,PROBAST!$A$6:$AE$77,40,)="Low concern","+",IF(HLOOKUP($A30,PROBAST!$A$6:$AE$77,40,)="High concern","-",IF(HLOOKUP($A30,PROBAST!$A$6:$AE$77,40,)="Unclear","?",""))),"")</f>
        <v>+</v>
      </c>
      <c r="R31" s="143"/>
    </row>
    <row r="32" spans="1:23" s="140" customFormat="1" ht="22.5" customHeight="1" x14ac:dyDescent="0.3">
      <c r="A32" s="377" t="str">
        <f>CHARMS!AS$6</f>
        <v/>
      </c>
      <c r="B32" s="378" t="str">
        <f>HLOOKUP($A32,CHARMS!$A$6:$CQ$89,1,)</f>
        <v/>
      </c>
      <c r="C32" s="371" t="str">
        <f>IF($A32="","",HLOOKUP($A32,CHARMS!$A$6:$CQ$89,48,))</f>
        <v/>
      </c>
      <c r="D32" s="375" t="str">
        <f>IF($A32="","",IF(HLOOKUP($A32,CHARMS!$A$6:$CQ$89,40,)=0,"Unkown",HLOOKUP($A32,CHARMS!$A$6:$CQ$89,40,)))</f>
        <v/>
      </c>
      <c r="E32" s="371" t="str">
        <f>IF($A32="","",IF(HLOOKUP($A32,CHARMS!$A$6:$CQ$89,40,)=0,"Unkown",CONCATENATE(HLOOKUP($A32,CHARMS!$A$6:$CQ$89,41,)," (",FIXED((HLOOKUP($A32,CHARMS!$A$6:$CQ$89,41,)/HLOOKUP($A32,CHARMS!$A$6:$CQ$89,40,))*100,1),")")))</f>
        <v/>
      </c>
      <c r="F32" s="371" t="str">
        <f>IF($A32="","",IF(HLOOKUP($A32,CHARMS!$A$6:$CQ$89,33,)=0,"Unkown",HLOOKUP($A32,CHARMS!$A$6:$CQ$89,33,)))</f>
        <v/>
      </c>
      <c r="G32" s="371" t="str">
        <f>IF($A32="","",HLOOKUP($A32,CHARMS!$A$6:$CQ$89,79,))</f>
        <v/>
      </c>
      <c r="H32" s="373" t="str">
        <f>IF($A32="","",HLOOKUP($A32,CHARMS!$A$6:$CQ$89,43,))</f>
        <v/>
      </c>
      <c r="I32" s="371" t="str">
        <f>IF($A32="","",HLOOKUP($A32,CHARMS!$A$6:$CQ$89,49,))</f>
        <v/>
      </c>
      <c r="J32" s="371" t="str">
        <f>IF($A32="","",HLOOKUP($A32,CHARMS!$A$6:$CQ$89,50,))</f>
        <v/>
      </c>
      <c r="K32" s="371" t="str">
        <f>CONCATENATE(IF($A32="","",IF(OR(HLOOKUP($A32,CHARMS!$A$6:$CQ$89,40,)=0,ISTEXT(HLOOKUP($A32,CHARMS!$A$6:$CQ$89,45,))),"n (%): Unkown",CONCATENATE("n (%): ",HLOOKUP($A32,CHARMS!$A$6:$CQ$89,45,)," (",FIXED((HLOOKUP($A32,CHARMS!$A$6:$CQ$89,45,)/HLOOKUP($A32,CHARMS!$A$6:$CQ$89,40,))*100,1),")"))),CHAR(10),IF($A32="","",CONCATENATE("Method: ",HLOOKUP($A32,CHARMS!$A$6:$CQ$89,46,))))</f>
        <v xml:space="preserve">
</v>
      </c>
      <c r="L32" s="373" t="str">
        <f>IF($A32="","",CONCATENATE("Int: ",HLOOKUP($A32,CHARMS!$A$6:$CQ$89,75,),CHAR(10),"Ext : ",HLOOKUP($A32,CHARMS!$A$6:$CQ$89,76,)))</f>
        <v/>
      </c>
      <c r="M32" s="373" t="str">
        <f>IF($A32="","",CONCATENATE("Cal: ",HLOOKUP($A32,CHARMS!$A$6:$CQ$89,53,),CHAR(10),"Disc : ",HLOOKUP($A32,CHARMS!$A$6:$CQ$89,59,),CHAR(10),"Ov: ",HLOOKUP($A32,CHARMS!$A$6:$CQ$89,66,)))</f>
        <v/>
      </c>
      <c r="N32" s="136" t="s">
        <v>31</v>
      </c>
      <c r="O32" s="137" t="str">
        <f>_xlfn.IFNA(IF(HLOOKUP($A32,PROBAST!$A$6:$AE$77,11,)="Low RoB","+",IF(HLOOKUP($A32,PROBAST!$A$6:$AE$77,11,)="High RoB","-",IF(HLOOKUP($A32,PROBAST!$A$6:$AE$77,11,)="Unclear","?",""))),"")</f>
        <v>+</v>
      </c>
      <c r="P32" s="137" t="str">
        <f>_xlfn.IFNA(IF(HLOOKUP($A32,PROBAST!$A$6:$AE$77,25,)="Low RoB","+",IF(HLOOKUP($A32,PROBAST!$A$6:$AE$77,25,)="High RoB","-",IF(HLOOKUP($A32,PROBAST!$A$6:$AE$77,25,)="Unclear","?",""))),"")</f>
        <v>+</v>
      </c>
      <c r="Q32" s="137" t="str">
        <f>_xlfn.IFNA(IF(HLOOKUP($A32,PROBAST!$A$6:$AE$77,39,)="Low RoB","+",IF(HLOOKUP($A32,PROBAST!$A$6:$AE$77,39,)="High RoB","-",IF(HLOOKUP($A32,PROBAST!$A$6:$AE$77,39,)="Unclear","?",""))),"")</f>
        <v>+</v>
      </c>
      <c r="R32" s="138" t="str">
        <f>_xlfn.IFNA(IF(HLOOKUP($A32,PROBAST!$A$6:$AE$77,58,)="Low RoB","+",IF(HLOOKUP($A32,PROBAST!$A$6:$AE$77,58,)="High RoB","-",IF(HLOOKUP($A32,PROBAST!$A$6:$AE$77,58,)="Unclear","?",""))),"")</f>
        <v>+</v>
      </c>
      <c r="S32" s="139"/>
      <c r="T32" s="139"/>
      <c r="U32" s="139"/>
      <c r="V32" s="139"/>
      <c r="W32" s="139"/>
    </row>
    <row r="33" spans="1:23" ht="22.5" customHeight="1" thickBot="1" x14ac:dyDescent="0.35">
      <c r="A33" s="377"/>
      <c r="B33" s="379"/>
      <c r="C33" s="372"/>
      <c r="D33" s="376"/>
      <c r="E33" s="372"/>
      <c r="F33" s="372"/>
      <c r="G33" s="372"/>
      <c r="H33" s="374"/>
      <c r="I33" s="372"/>
      <c r="J33" s="372"/>
      <c r="K33" s="381"/>
      <c r="L33" s="374"/>
      <c r="M33" s="374"/>
      <c r="N33" s="141" t="s">
        <v>30</v>
      </c>
      <c r="O33" s="142" t="str">
        <f>_xlfn.IFNA(IF(HLOOKUP($A32,PROBAST!$A$6:$AE$77,12,)="Low concern","+",IF(HLOOKUP($A32,PROBAST!$A$6:$AE$77,12,)="High concern","-",IF(HLOOKUP($A32,PROBAST!$A$6:$AE$77,12,)="Unclear","?",""))),"")</f>
        <v>+</v>
      </c>
      <c r="P33" s="142" t="str">
        <f>_xlfn.IFNA(IF(HLOOKUP($A32,PROBAST!$A$6:$AE$77,26,)="Low concern","+",IF(HLOOKUP($A32,PROBAST!$A$6:$AE$77,26,)="High concern","-",IF(HLOOKUP($A32,PROBAST!$A$6:$AE$77,26,)="Unclear","?",""))),"")</f>
        <v>?</v>
      </c>
      <c r="Q33" s="142" t="str">
        <f>_xlfn.IFNA(IF(HLOOKUP($A32,PROBAST!$A$6:$AE$77,40,)="Low concern","+",IF(HLOOKUP($A32,PROBAST!$A$6:$AE$77,40,)="High concern","-",IF(HLOOKUP($A32,PROBAST!$A$6:$AE$77,40,)="Unclear","?",""))),"")</f>
        <v>+</v>
      </c>
      <c r="R33" s="143"/>
    </row>
    <row r="34" spans="1:23" s="140" customFormat="1" ht="22.5" customHeight="1" x14ac:dyDescent="0.3">
      <c r="A34" s="377" t="str">
        <f>CHARMS!AV$6</f>
        <v/>
      </c>
      <c r="B34" s="378" t="str">
        <f>HLOOKUP($A34,CHARMS!$A$6:$CQ$89,1,)</f>
        <v/>
      </c>
      <c r="C34" s="371" t="str">
        <f>IF($A34="","",HLOOKUP($A34,CHARMS!$A$6:$CQ$89,48,))</f>
        <v/>
      </c>
      <c r="D34" s="375" t="str">
        <f>IF($A34="","",IF(HLOOKUP($A34,CHARMS!$A$6:$CQ$89,40,)=0,"Unkown",HLOOKUP($A34,CHARMS!$A$6:$CQ$89,40,)))</f>
        <v/>
      </c>
      <c r="E34" s="371" t="str">
        <f>IF($A34="","",IF(HLOOKUP($A34,CHARMS!$A$6:$CQ$89,40,)=0,"Unkown",CONCATENATE(HLOOKUP($A34,CHARMS!$A$6:$CQ$89,41,)," (",FIXED((HLOOKUP($A34,CHARMS!$A$6:$CQ$89,41,)/HLOOKUP($A34,CHARMS!$A$6:$CQ$89,40,))*100,1),")")))</f>
        <v/>
      </c>
      <c r="F34" s="371" t="str">
        <f>IF($A34="","",IF(HLOOKUP($A34,CHARMS!$A$6:$CQ$89,33,)=0,"Unkown",HLOOKUP($A34,CHARMS!$A$6:$CQ$89,33,)))</f>
        <v/>
      </c>
      <c r="G34" s="371" t="str">
        <f>IF($A34="","",HLOOKUP($A34,CHARMS!$A$6:$CQ$89,79,))</f>
        <v/>
      </c>
      <c r="H34" s="373" t="str">
        <f>IF($A34="","",HLOOKUP($A34,CHARMS!$A$6:$CQ$89,43,))</f>
        <v/>
      </c>
      <c r="I34" s="371" t="str">
        <f>IF($A34="","",HLOOKUP($A34,CHARMS!$A$6:$CQ$89,49,))</f>
        <v/>
      </c>
      <c r="J34" s="371" t="str">
        <f>IF($A34="","",HLOOKUP($A34,CHARMS!$A$6:$CQ$89,50,))</f>
        <v/>
      </c>
      <c r="K34" s="371" t="str">
        <f>CONCATENATE(IF($A34="","",IF(OR(HLOOKUP($A34,CHARMS!$A$6:$CQ$89,40,)=0,ISTEXT(HLOOKUP($A34,CHARMS!$A$6:$CQ$89,45,))),"n (%): Unkown",CONCATENATE("n (%): ",HLOOKUP($A34,CHARMS!$A$6:$CQ$89,45,)," (",FIXED((HLOOKUP($A34,CHARMS!$A$6:$CQ$89,45,)/HLOOKUP($A34,CHARMS!$A$6:$CQ$89,40,))*100,1),")"))),CHAR(10),IF($A34="","",CONCATENATE("Method: ",HLOOKUP($A34,CHARMS!$A$6:$CQ$89,46,))))</f>
        <v xml:space="preserve">
</v>
      </c>
      <c r="L34" s="373" t="str">
        <f>IF($A34="","",CONCATENATE("Int: ",HLOOKUP($A34,CHARMS!$A$6:$CQ$89,75,),CHAR(10),"Ext : ",HLOOKUP($A34,CHARMS!$A$6:$CQ$89,76,)))</f>
        <v/>
      </c>
      <c r="M34" s="373" t="str">
        <f>IF($A34="","",CONCATENATE("Cal: ",HLOOKUP($A34,CHARMS!$A$6:$CQ$89,53,),CHAR(10),"Disc : ",HLOOKUP($A34,CHARMS!$A$6:$CQ$89,59,),CHAR(10),"Ov: ",HLOOKUP($A34,CHARMS!$A$6:$CQ$89,66,)))</f>
        <v/>
      </c>
      <c r="N34" s="136" t="s">
        <v>31</v>
      </c>
      <c r="O34" s="137" t="str">
        <f>_xlfn.IFNA(IF(HLOOKUP($A34,PROBAST!$A$6:$AE$77,11,)="Low RoB","+",IF(HLOOKUP($A34,PROBAST!$A$6:$AE$77,11,)="High RoB","-",IF(HLOOKUP($A34,PROBAST!$A$6:$AE$77,11,)="Unclear","?",""))),"")</f>
        <v>+</v>
      </c>
      <c r="P34" s="137" t="str">
        <f>_xlfn.IFNA(IF(HLOOKUP($A34,PROBAST!$A$6:$AE$77,25,)="Low RoB","+",IF(HLOOKUP($A34,PROBAST!$A$6:$AE$77,25,)="High RoB","-",IF(HLOOKUP($A34,PROBAST!$A$6:$AE$77,25,)="Unclear","?",""))),"")</f>
        <v>+</v>
      </c>
      <c r="Q34" s="137" t="str">
        <f>_xlfn.IFNA(IF(HLOOKUP($A34,PROBAST!$A$6:$AE$77,39,)="Low RoB","+",IF(HLOOKUP($A34,PROBAST!$A$6:$AE$77,39,)="High RoB","-",IF(HLOOKUP($A34,PROBAST!$A$6:$AE$77,39,)="Unclear","?",""))),"")</f>
        <v>+</v>
      </c>
      <c r="R34" s="138" t="str">
        <f>_xlfn.IFNA(IF(HLOOKUP($A34,PROBAST!$A$6:$AE$77,58,)="Low RoB","+",IF(HLOOKUP($A34,PROBAST!$A$6:$AE$77,58,)="High RoB","-",IF(HLOOKUP($A34,PROBAST!$A$6:$AE$77,58,)="Unclear","?",""))),"")</f>
        <v>+</v>
      </c>
      <c r="S34" s="139"/>
      <c r="T34" s="139"/>
      <c r="U34" s="139"/>
      <c r="V34" s="139"/>
      <c r="W34" s="139"/>
    </row>
    <row r="35" spans="1:23" ht="22.5" customHeight="1" thickBot="1" x14ac:dyDescent="0.35">
      <c r="A35" s="377"/>
      <c r="B35" s="379"/>
      <c r="C35" s="372"/>
      <c r="D35" s="376"/>
      <c r="E35" s="372"/>
      <c r="F35" s="372"/>
      <c r="G35" s="372"/>
      <c r="H35" s="374"/>
      <c r="I35" s="372"/>
      <c r="J35" s="372"/>
      <c r="K35" s="381"/>
      <c r="L35" s="374"/>
      <c r="M35" s="374"/>
      <c r="N35" s="141" t="s">
        <v>30</v>
      </c>
      <c r="O35" s="142" t="str">
        <f>_xlfn.IFNA(IF(HLOOKUP($A34,PROBAST!$A$6:$AE$77,12,)="Low concern","+",IF(HLOOKUP($A34,PROBAST!$A$6:$AE$77,12,)="High concern","-",IF(HLOOKUP($A34,PROBAST!$A$6:$AE$77,12,)="Unclear","?",""))),"")</f>
        <v>+</v>
      </c>
      <c r="P35" s="142" t="str">
        <f>_xlfn.IFNA(IF(HLOOKUP($A34,PROBAST!$A$6:$AE$77,26,)="Low concern","+",IF(HLOOKUP($A34,PROBAST!$A$6:$AE$77,26,)="High concern","-",IF(HLOOKUP($A34,PROBAST!$A$6:$AE$77,26,)="Unclear","?",""))),"")</f>
        <v>?</v>
      </c>
      <c r="Q35" s="142" t="str">
        <f>_xlfn.IFNA(IF(HLOOKUP($A34,PROBAST!$A$6:$AE$77,40,)="Low concern","+",IF(HLOOKUP($A34,PROBAST!$A$6:$AE$77,40,)="High concern","-",IF(HLOOKUP($A34,PROBAST!$A$6:$AE$77,40,)="Unclear","?",""))),"")</f>
        <v>+</v>
      </c>
      <c r="R35" s="143"/>
    </row>
    <row r="36" spans="1:23" s="140" customFormat="1" ht="22.5" customHeight="1" x14ac:dyDescent="0.3">
      <c r="A36" s="377" t="str">
        <f>CHARMS!AY$6</f>
        <v/>
      </c>
      <c r="B36" s="378" t="str">
        <f>HLOOKUP($A36,CHARMS!$A$6:$CQ$89,1,)</f>
        <v/>
      </c>
      <c r="C36" s="371" t="str">
        <f>IF($A36="","",HLOOKUP($A36,CHARMS!$A$6:$CQ$89,48,))</f>
        <v/>
      </c>
      <c r="D36" s="375" t="str">
        <f>IF($A36="","",IF(HLOOKUP($A36,CHARMS!$A$6:$CQ$89,40,)=0,"Unkown",HLOOKUP($A36,CHARMS!$A$6:$CQ$89,40,)))</f>
        <v/>
      </c>
      <c r="E36" s="371" t="str">
        <f>IF($A36="","",IF(HLOOKUP($A36,CHARMS!$A$6:$CQ$89,40,)=0,"Unkown",CONCATENATE(HLOOKUP($A36,CHARMS!$A$6:$CQ$89,41,)," (",FIXED((HLOOKUP($A36,CHARMS!$A$6:$CQ$89,41,)/HLOOKUP($A36,CHARMS!$A$6:$CQ$89,40,))*100,1),")")))</f>
        <v/>
      </c>
      <c r="F36" s="371" t="str">
        <f>IF($A36="","",IF(HLOOKUP($A36,CHARMS!$A$6:$CQ$89,33,)=0,"Unkown",HLOOKUP($A36,CHARMS!$A$6:$CQ$89,33,)))</f>
        <v/>
      </c>
      <c r="G36" s="371" t="str">
        <f>IF($A36="","",HLOOKUP($A36,CHARMS!$A$6:$CQ$89,79,))</f>
        <v/>
      </c>
      <c r="H36" s="373" t="str">
        <f>IF($A36="","",HLOOKUP($A36,CHARMS!$A$6:$CQ$89,43,))</f>
        <v/>
      </c>
      <c r="I36" s="371" t="str">
        <f>IF($A36="","",HLOOKUP($A36,CHARMS!$A$6:$CQ$89,49,))</f>
        <v/>
      </c>
      <c r="J36" s="371" t="str">
        <f>IF($A36="","",HLOOKUP($A36,CHARMS!$A$6:$CQ$89,50,))</f>
        <v/>
      </c>
      <c r="K36" s="371" t="str">
        <f>CONCATENATE(IF($A36="","",IF(OR(HLOOKUP($A36,CHARMS!$A$6:$CQ$89,40,)=0,ISTEXT(HLOOKUP($A36,CHARMS!$A$6:$CQ$89,45,))),"n (%): Unkown",CONCATENATE("n (%): ",HLOOKUP($A36,CHARMS!$A$6:$CQ$89,45,)," (",FIXED((HLOOKUP($A36,CHARMS!$A$6:$CQ$89,45,)/HLOOKUP($A36,CHARMS!$A$6:$CQ$89,40,))*100,1),")"))),CHAR(10),IF($A36="","",CONCATENATE("Method: ",HLOOKUP($A36,CHARMS!$A$6:$CQ$89,46,))))</f>
        <v xml:space="preserve">
</v>
      </c>
      <c r="L36" s="373" t="str">
        <f>IF($A36="","",CONCATENATE("Int: ",HLOOKUP($A36,CHARMS!$A$6:$CQ$89,75,),CHAR(10),"Ext : ",HLOOKUP($A36,CHARMS!$A$6:$CQ$89,76,)))</f>
        <v/>
      </c>
      <c r="M36" s="373" t="str">
        <f>IF($A36="","",CONCATENATE("Cal: ",HLOOKUP($A36,CHARMS!$A$6:$CQ$89,53,),CHAR(10),"Disc : ",HLOOKUP($A36,CHARMS!$A$6:$CQ$89,59,),CHAR(10),"Ov: ",HLOOKUP($A36,CHARMS!$A$6:$CQ$89,66,)))</f>
        <v/>
      </c>
      <c r="N36" s="136" t="s">
        <v>31</v>
      </c>
      <c r="O36" s="137" t="str">
        <f>_xlfn.IFNA(IF(HLOOKUP($A36,PROBAST!$A$6:$AE$77,11,)="Low RoB","+",IF(HLOOKUP($A36,PROBAST!$A$6:$AE$77,11,)="High RoB","-",IF(HLOOKUP($A36,PROBAST!$A$6:$AE$77,11,)="Unclear","?",""))),"")</f>
        <v>+</v>
      </c>
      <c r="P36" s="137" t="str">
        <f>_xlfn.IFNA(IF(HLOOKUP($A36,PROBAST!$A$6:$AE$77,25,)="Low RoB","+",IF(HLOOKUP($A36,PROBAST!$A$6:$AE$77,25,)="High RoB","-",IF(HLOOKUP($A36,PROBAST!$A$6:$AE$77,25,)="Unclear","?",""))),"")</f>
        <v>+</v>
      </c>
      <c r="Q36" s="137" t="str">
        <f>_xlfn.IFNA(IF(HLOOKUP($A36,PROBAST!$A$6:$AE$77,39,)="Low RoB","+",IF(HLOOKUP($A36,PROBAST!$A$6:$AE$77,39,)="High RoB","-",IF(HLOOKUP($A36,PROBAST!$A$6:$AE$77,39,)="Unclear","?",""))),"")</f>
        <v>+</v>
      </c>
      <c r="R36" s="138" t="str">
        <f>_xlfn.IFNA(IF(HLOOKUP($A36,PROBAST!$A$6:$AE$77,58,)="Low RoB","+",IF(HLOOKUP($A36,PROBAST!$A$6:$AE$77,58,)="High RoB","-",IF(HLOOKUP($A36,PROBAST!$A$6:$AE$77,58,)="Unclear","?",""))),"")</f>
        <v>+</v>
      </c>
      <c r="S36" s="139"/>
      <c r="T36" s="139"/>
      <c r="U36" s="139"/>
      <c r="V36" s="139"/>
      <c r="W36" s="139"/>
    </row>
    <row r="37" spans="1:23" ht="22.5" customHeight="1" thickBot="1" x14ac:dyDescent="0.35">
      <c r="A37" s="377"/>
      <c r="B37" s="379"/>
      <c r="C37" s="372"/>
      <c r="D37" s="376"/>
      <c r="E37" s="372"/>
      <c r="F37" s="372"/>
      <c r="G37" s="372"/>
      <c r="H37" s="374"/>
      <c r="I37" s="372"/>
      <c r="J37" s="372"/>
      <c r="K37" s="381"/>
      <c r="L37" s="374"/>
      <c r="M37" s="374"/>
      <c r="N37" s="141" t="s">
        <v>30</v>
      </c>
      <c r="O37" s="142" t="str">
        <f>_xlfn.IFNA(IF(HLOOKUP($A36,PROBAST!$A$6:$AE$77,12,)="Low concern","+",IF(HLOOKUP($A36,PROBAST!$A$6:$AE$77,12,)="High concern","-",IF(HLOOKUP($A36,PROBAST!$A$6:$AE$77,12,)="Unclear","?",""))),"")</f>
        <v>+</v>
      </c>
      <c r="P37" s="142" t="str">
        <f>_xlfn.IFNA(IF(HLOOKUP($A36,PROBAST!$A$6:$AE$77,26,)="Low concern","+",IF(HLOOKUP($A36,PROBAST!$A$6:$AE$77,26,)="High concern","-",IF(HLOOKUP($A36,PROBAST!$A$6:$AE$77,26,)="Unclear","?",""))),"")</f>
        <v>?</v>
      </c>
      <c r="Q37" s="142" t="str">
        <f>_xlfn.IFNA(IF(HLOOKUP($A36,PROBAST!$A$6:$AE$77,40,)="Low concern","+",IF(HLOOKUP($A36,PROBAST!$A$6:$AE$77,40,)="High concern","-",IF(HLOOKUP($A36,PROBAST!$A$6:$AE$77,40,)="Unclear","?",""))),"")</f>
        <v>+</v>
      </c>
      <c r="R37" s="143"/>
    </row>
    <row r="38" spans="1:23" s="140" customFormat="1" ht="22.5" customHeight="1" x14ac:dyDescent="0.3">
      <c r="A38" s="377" t="str">
        <f>CHARMS!BB$6</f>
        <v/>
      </c>
      <c r="B38" s="378" t="str">
        <f>HLOOKUP($A38,CHARMS!$A$6:$CQ$89,1,)</f>
        <v/>
      </c>
      <c r="C38" s="371" t="str">
        <f>IF($A38="","",HLOOKUP($A38,CHARMS!$A$6:$CQ$89,48,))</f>
        <v/>
      </c>
      <c r="D38" s="375" t="str">
        <f>IF($A38="","",IF(HLOOKUP($A38,CHARMS!$A$6:$CQ$89,40,)=0,"Unkown",HLOOKUP($A38,CHARMS!$A$6:$CQ$89,40,)))</f>
        <v/>
      </c>
      <c r="E38" s="371" t="str">
        <f>IF($A38="","",IF(HLOOKUP($A38,CHARMS!$A$6:$CQ$89,40,)=0,"Unkown",CONCATENATE(HLOOKUP($A38,CHARMS!$A$6:$CQ$89,41,)," (",FIXED((HLOOKUP($A38,CHARMS!$A$6:$CQ$89,41,)/HLOOKUP($A38,CHARMS!$A$6:$CQ$89,40,))*100,1),")")))</f>
        <v/>
      </c>
      <c r="F38" s="371" t="str">
        <f>IF($A38="","",IF(HLOOKUP($A38,CHARMS!$A$6:$CQ$89,33,)=0,"Unkown",HLOOKUP($A38,CHARMS!$A$6:$CQ$89,33,)))</f>
        <v/>
      </c>
      <c r="G38" s="371" t="str">
        <f>IF($A38="","",HLOOKUP($A38,CHARMS!$A$6:$CQ$89,79,))</f>
        <v/>
      </c>
      <c r="H38" s="373" t="str">
        <f>IF($A38="","",HLOOKUP($A38,CHARMS!$A$6:$CQ$89,43,))</f>
        <v/>
      </c>
      <c r="I38" s="371" t="str">
        <f>IF($A38="","",HLOOKUP($A38,CHARMS!$A$6:$CQ$89,49,))</f>
        <v/>
      </c>
      <c r="J38" s="371" t="str">
        <f>IF($A38="","",HLOOKUP($A38,CHARMS!$A$6:$CQ$89,50,))</f>
        <v/>
      </c>
      <c r="K38" s="371" t="str">
        <f>CONCATENATE(IF($A38="","",IF(OR(HLOOKUP($A38,CHARMS!$A$6:$CQ$89,40,)=0,ISTEXT(HLOOKUP($A38,CHARMS!$A$6:$CQ$89,45,))),"n (%): Unkown",CONCATENATE("n (%): ",HLOOKUP($A38,CHARMS!$A$6:$CQ$89,45,)," (",FIXED((HLOOKUP($A38,CHARMS!$A$6:$CQ$89,45,)/HLOOKUP($A38,CHARMS!$A$6:$CQ$89,40,))*100,1),")"))),CHAR(10),IF($A38="","",CONCATENATE("Method: ",HLOOKUP($A38,CHARMS!$A$6:$CQ$89,46,))))</f>
        <v xml:space="preserve">
</v>
      </c>
      <c r="L38" s="373" t="str">
        <f>IF($A38="","",CONCATENATE("Int: ",HLOOKUP($A38,CHARMS!$A$6:$CQ$89,75,),CHAR(10),"Ext : ",HLOOKUP($A38,CHARMS!$A$6:$CQ$89,76,)))</f>
        <v/>
      </c>
      <c r="M38" s="373" t="str">
        <f>IF($A38="","",CONCATENATE("Cal: ",HLOOKUP($A38,CHARMS!$A$6:$CQ$89,53,),CHAR(10),"Disc : ",HLOOKUP($A38,CHARMS!$A$6:$CQ$89,59,),CHAR(10),"Ov: ",HLOOKUP($A38,CHARMS!$A$6:$CQ$89,66,)))</f>
        <v/>
      </c>
      <c r="N38" s="136" t="s">
        <v>31</v>
      </c>
      <c r="O38" s="137" t="str">
        <f>_xlfn.IFNA(IF(HLOOKUP($A38,PROBAST!$A$6:$AE$77,11,)="Low RoB","+",IF(HLOOKUP($A38,PROBAST!$A$6:$AE$77,11,)="High RoB","-",IF(HLOOKUP($A38,PROBAST!$A$6:$AE$77,11,)="Unclear","?",""))),"")</f>
        <v>+</v>
      </c>
      <c r="P38" s="137" t="str">
        <f>_xlfn.IFNA(IF(HLOOKUP($A38,PROBAST!$A$6:$AE$77,25,)="Low RoB","+",IF(HLOOKUP($A38,PROBAST!$A$6:$AE$77,25,)="High RoB","-",IF(HLOOKUP($A38,PROBAST!$A$6:$AE$77,25,)="Unclear","?",""))),"")</f>
        <v>+</v>
      </c>
      <c r="Q38" s="137" t="str">
        <f>_xlfn.IFNA(IF(HLOOKUP($A38,PROBAST!$A$6:$AE$77,39,)="Low RoB","+",IF(HLOOKUP($A38,PROBAST!$A$6:$AE$77,39,)="High RoB","-",IF(HLOOKUP($A38,PROBAST!$A$6:$AE$77,39,)="Unclear","?",""))),"")</f>
        <v>+</v>
      </c>
      <c r="R38" s="138" t="str">
        <f>_xlfn.IFNA(IF(HLOOKUP($A38,PROBAST!$A$6:$AE$77,58,)="Low RoB","+",IF(HLOOKUP($A38,PROBAST!$A$6:$AE$77,58,)="High RoB","-",IF(HLOOKUP($A38,PROBAST!$A$6:$AE$77,58,)="Unclear","?",""))),"")</f>
        <v>+</v>
      </c>
      <c r="S38" s="139"/>
      <c r="T38" s="139"/>
      <c r="U38" s="139"/>
      <c r="V38" s="139"/>
      <c r="W38" s="139"/>
    </row>
    <row r="39" spans="1:23" ht="22.5" customHeight="1" thickBot="1" x14ac:dyDescent="0.35">
      <c r="A39" s="377"/>
      <c r="B39" s="379"/>
      <c r="C39" s="372"/>
      <c r="D39" s="376"/>
      <c r="E39" s="372"/>
      <c r="F39" s="372"/>
      <c r="G39" s="372"/>
      <c r="H39" s="374"/>
      <c r="I39" s="372"/>
      <c r="J39" s="372"/>
      <c r="K39" s="381"/>
      <c r="L39" s="374"/>
      <c r="M39" s="374"/>
      <c r="N39" s="141" t="s">
        <v>30</v>
      </c>
      <c r="O39" s="142" t="str">
        <f>_xlfn.IFNA(IF(HLOOKUP($A38,PROBAST!$A$6:$AE$77,12,)="Low concern","+",IF(HLOOKUP($A38,PROBAST!$A$6:$AE$77,12,)="High concern","-",IF(HLOOKUP($A38,PROBAST!$A$6:$AE$77,12,)="Unclear","?",""))),"")</f>
        <v>+</v>
      </c>
      <c r="P39" s="142" t="str">
        <f>_xlfn.IFNA(IF(HLOOKUP($A38,PROBAST!$A$6:$AE$77,26,)="Low concern","+",IF(HLOOKUP($A38,PROBAST!$A$6:$AE$77,26,)="High concern","-",IF(HLOOKUP($A38,PROBAST!$A$6:$AE$77,26,)="Unclear","?",""))),"")</f>
        <v>?</v>
      </c>
      <c r="Q39" s="142" t="str">
        <f>_xlfn.IFNA(IF(HLOOKUP($A38,PROBAST!$A$6:$AE$77,40,)="Low concern","+",IF(HLOOKUP($A38,PROBAST!$A$6:$AE$77,40,)="High concern","-",IF(HLOOKUP($A38,PROBAST!$A$6:$AE$77,40,)="Unclear","?",""))),"")</f>
        <v>+</v>
      </c>
      <c r="R39" s="143"/>
    </row>
    <row r="40" spans="1:23" s="140" customFormat="1" ht="22.5" customHeight="1" x14ac:dyDescent="0.3">
      <c r="A40" s="377" t="str">
        <f>CHARMS!BE$6</f>
        <v/>
      </c>
      <c r="B40" s="378" t="str">
        <f>HLOOKUP($A40,CHARMS!$A$6:$CQ$89,1,)</f>
        <v/>
      </c>
      <c r="C40" s="371" t="str">
        <f>IF($A40="","",HLOOKUP($A40,CHARMS!$A$6:$CQ$89,48,))</f>
        <v/>
      </c>
      <c r="D40" s="375" t="str">
        <f>IF($A40="","",IF(HLOOKUP($A40,CHARMS!$A$6:$CQ$89,40,)=0,"Unkown",HLOOKUP($A40,CHARMS!$A$6:$CQ$89,40,)))</f>
        <v/>
      </c>
      <c r="E40" s="371" t="str">
        <f>IF($A40="","",IF(HLOOKUP($A40,CHARMS!$A$6:$CQ$89,40,)=0,"Unkown",CONCATENATE(HLOOKUP($A40,CHARMS!$A$6:$CQ$89,41,)," (",FIXED((HLOOKUP($A40,CHARMS!$A$6:$CQ$89,41,)/HLOOKUP($A40,CHARMS!$A$6:$CQ$89,40,))*100,1),")")))</f>
        <v/>
      </c>
      <c r="F40" s="371" t="str">
        <f>IF($A40="","",IF(HLOOKUP($A40,CHARMS!$A$6:$CQ$89,33,)=0,"Unkown",HLOOKUP($A40,CHARMS!$A$6:$CQ$89,33,)))</f>
        <v/>
      </c>
      <c r="G40" s="371" t="str">
        <f>IF($A40="","",HLOOKUP($A40,CHARMS!$A$6:$CQ$89,79,))</f>
        <v/>
      </c>
      <c r="H40" s="373" t="str">
        <f>IF($A40="","",HLOOKUP($A40,CHARMS!$A$6:$CQ$89,43,))</f>
        <v/>
      </c>
      <c r="I40" s="371" t="str">
        <f>IF($A40="","",HLOOKUP($A40,CHARMS!$A$6:$CQ$89,49,))</f>
        <v/>
      </c>
      <c r="J40" s="371" t="str">
        <f>IF($A40="","",HLOOKUP($A40,CHARMS!$A$6:$CQ$89,50,))</f>
        <v/>
      </c>
      <c r="K40" s="371" t="str">
        <f>CONCATENATE(IF($A40="","",IF(OR(HLOOKUP($A40,CHARMS!$A$6:$CQ$89,40,)=0,ISTEXT(HLOOKUP($A40,CHARMS!$A$6:$CQ$89,45,))),"n (%): Unkown",CONCATENATE("n (%): ",HLOOKUP($A40,CHARMS!$A$6:$CQ$89,45,)," (",FIXED((HLOOKUP($A40,CHARMS!$A$6:$CQ$89,45,)/HLOOKUP($A40,CHARMS!$A$6:$CQ$89,40,))*100,1),")"))),CHAR(10),IF($A40="","",CONCATENATE("Method: ",HLOOKUP($A40,CHARMS!$A$6:$CQ$89,46,))))</f>
        <v xml:space="preserve">
</v>
      </c>
      <c r="L40" s="373" t="str">
        <f>IF($A40="","",CONCATENATE("Int: ",HLOOKUP($A40,CHARMS!$A$6:$CQ$89,75,),CHAR(10),"Ext : ",HLOOKUP($A40,CHARMS!$A$6:$CQ$89,76,)))</f>
        <v/>
      </c>
      <c r="M40" s="373" t="str">
        <f>IF($A40="","",CONCATENATE("Cal: ",HLOOKUP($A40,CHARMS!$A$6:$CQ$89,53,),CHAR(10),"Disc : ",HLOOKUP($A40,CHARMS!$A$6:$CQ$89,59,),CHAR(10),"Ov: ",HLOOKUP($A40,CHARMS!$A$6:$CQ$89,66,)))</f>
        <v/>
      </c>
      <c r="N40" s="136" t="s">
        <v>31</v>
      </c>
      <c r="O40" s="137" t="str">
        <f>_xlfn.IFNA(IF(HLOOKUP($A40,PROBAST!$A$6:$AE$77,11,)="Low RoB","+",IF(HLOOKUP($A40,PROBAST!$A$6:$AE$77,11,)="High RoB","-",IF(HLOOKUP($A40,PROBAST!$A$6:$AE$77,11,)="Unclear","?",""))),"")</f>
        <v>+</v>
      </c>
      <c r="P40" s="137" t="str">
        <f>_xlfn.IFNA(IF(HLOOKUP($A40,PROBAST!$A$6:$AE$77,25,)="Low RoB","+",IF(HLOOKUP($A40,PROBAST!$A$6:$AE$77,25,)="High RoB","-",IF(HLOOKUP($A40,PROBAST!$A$6:$AE$77,25,)="Unclear","?",""))),"")</f>
        <v>+</v>
      </c>
      <c r="Q40" s="137" t="str">
        <f>_xlfn.IFNA(IF(HLOOKUP($A40,PROBAST!$A$6:$AE$77,39,)="Low RoB","+",IF(HLOOKUP($A40,PROBAST!$A$6:$AE$77,39,)="High RoB","-",IF(HLOOKUP($A40,PROBAST!$A$6:$AE$77,39,)="Unclear","?",""))),"")</f>
        <v>+</v>
      </c>
      <c r="R40" s="138" t="str">
        <f>_xlfn.IFNA(IF(HLOOKUP($A40,PROBAST!$A$6:$AE$77,58,)="Low RoB","+",IF(HLOOKUP($A40,PROBAST!$A$6:$AE$77,58,)="High RoB","-",IF(HLOOKUP($A40,PROBAST!$A$6:$AE$77,58,)="Unclear","?",""))),"")</f>
        <v>+</v>
      </c>
      <c r="S40" s="139"/>
      <c r="T40" s="139"/>
      <c r="U40" s="139"/>
      <c r="V40" s="139"/>
      <c r="W40" s="139"/>
    </row>
    <row r="41" spans="1:23" ht="22.5" customHeight="1" thickBot="1" x14ac:dyDescent="0.35">
      <c r="A41" s="377"/>
      <c r="B41" s="379"/>
      <c r="C41" s="372"/>
      <c r="D41" s="376"/>
      <c r="E41" s="372"/>
      <c r="F41" s="372"/>
      <c r="G41" s="372"/>
      <c r="H41" s="374"/>
      <c r="I41" s="372"/>
      <c r="J41" s="372"/>
      <c r="K41" s="381"/>
      <c r="L41" s="374"/>
      <c r="M41" s="374"/>
      <c r="N41" s="141" t="s">
        <v>30</v>
      </c>
      <c r="O41" s="142" t="str">
        <f>_xlfn.IFNA(IF(HLOOKUP($A40,PROBAST!$A$6:$AE$77,12,)="Low concern","+",IF(HLOOKUP($A40,PROBAST!$A$6:$AE$77,12,)="High concern","-",IF(HLOOKUP($A40,PROBAST!$A$6:$AE$77,12,)="Unclear","?",""))),"")</f>
        <v>+</v>
      </c>
      <c r="P41" s="142" t="str">
        <f>_xlfn.IFNA(IF(HLOOKUP($A40,PROBAST!$A$6:$AE$77,26,)="Low concern","+",IF(HLOOKUP($A40,PROBAST!$A$6:$AE$77,26,)="High concern","-",IF(HLOOKUP($A40,PROBAST!$A$6:$AE$77,26,)="Unclear","?",""))),"")</f>
        <v>?</v>
      </c>
      <c r="Q41" s="142" t="str">
        <f>_xlfn.IFNA(IF(HLOOKUP($A40,PROBAST!$A$6:$AE$77,40,)="Low concern","+",IF(HLOOKUP($A40,PROBAST!$A$6:$AE$77,40,)="High concern","-",IF(HLOOKUP($A40,PROBAST!$A$6:$AE$77,40,)="Unclear","?",""))),"")</f>
        <v>+</v>
      </c>
      <c r="R41" s="143"/>
    </row>
    <row r="42" spans="1:23" s="140" customFormat="1" ht="22.5" customHeight="1" x14ac:dyDescent="0.3">
      <c r="A42" s="377" t="str">
        <f>CHARMS!BH$6</f>
        <v/>
      </c>
      <c r="B42" s="378" t="str">
        <f>HLOOKUP($A42,CHARMS!$A$6:$CQ$89,1,)</f>
        <v/>
      </c>
      <c r="C42" s="371" t="str">
        <f>IF($A42="","",HLOOKUP($A42,CHARMS!$A$6:$CQ$89,48,))</f>
        <v/>
      </c>
      <c r="D42" s="375" t="str">
        <f>IF($A42="","",IF(HLOOKUP($A42,CHARMS!$A$6:$CQ$89,40,)=0,"Unkown",HLOOKUP($A42,CHARMS!$A$6:$CQ$89,40,)))</f>
        <v/>
      </c>
      <c r="E42" s="371" t="str">
        <f>IF($A42="","",IF(HLOOKUP($A42,CHARMS!$A$6:$CQ$89,40,)=0,"Unkown",CONCATENATE(HLOOKUP($A42,CHARMS!$A$6:$CQ$89,41,)," (",FIXED((HLOOKUP($A42,CHARMS!$A$6:$CQ$89,41,)/HLOOKUP($A42,CHARMS!$A$6:$CQ$89,40,))*100,1),")")))</f>
        <v/>
      </c>
      <c r="F42" s="371" t="str">
        <f>IF($A42="","",IF(HLOOKUP($A42,CHARMS!$A$6:$CQ$89,33,)=0,"Unkown",HLOOKUP($A42,CHARMS!$A$6:$CQ$89,33,)))</f>
        <v/>
      </c>
      <c r="G42" s="371" t="str">
        <f>IF($A42="","",HLOOKUP($A42,CHARMS!$A$6:$CQ$89,79,))</f>
        <v/>
      </c>
      <c r="H42" s="373" t="str">
        <f>IF($A42="","",HLOOKUP($A42,CHARMS!$A$6:$CQ$89,43,))</f>
        <v/>
      </c>
      <c r="I42" s="371" t="str">
        <f>IF($A42="","",HLOOKUP($A42,CHARMS!$A$6:$CQ$89,49,))</f>
        <v/>
      </c>
      <c r="J42" s="371" t="str">
        <f>IF($A42="","",HLOOKUP($A42,CHARMS!$A$6:$CQ$89,50,))</f>
        <v/>
      </c>
      <c r="K42" s="371" t="str">
        <f>CONCATENATE(IF($A42="","",IF(OR(HLOOKUP($A42,CHARMS!$A$6:$CQ$89,40,)=0,ISTEXT(HLOOKUP($A42,CHARMS!$A$6:$CQ$89,45,))),"n (%): Unkown",CONCATENATE("n (%): ",HLOOKUP($A42,CHARMS!$A$6:$CQ$89,45,)," (",FIXED((HLOOKUP($A42,CHARMS!$A$6:$CQ$89,45,)/HLOOKUP($A42,CHARMS!$A$6:$CQ$89,40,))*100,1),")"))),CHAR(10),IF($A42="","",CONCATENATE("Method: ",HLOOKUP($A42,CHARMS!$A$6:$CQ$89,46,))))</f>
        <v xml:space="preserve">
</v>
      </c>
      <c r="L42" s="373" t="str">
        <f>IF($A42="","",CONCATENATE("Int: ",HLOOKUP($A42,CHARMS!$A$6:$CQ$89,75,),CHAR(10),"Ext : ",HLOOKUP($A42,CHARMS!$A$6:$CQ$89,76,)))</f>
        <v/>
      </c>
      <c r="M42" s="373" t="str">
        <f>IF($A42="","",CONCATENATE("Cal: ",HLOOKUP($A42,CHARMS!$A$6:$CQ$89,53,),CHAR(10),"Disc : ",HLOOKUP($A42,CHARMS!$A$6:$CQ$89,59,),CHAR(10),"Ov: ",HLOOKUP($A42,CHARMS!$A$6:$CQ$89,66,)))</f>
        <v/>
      </c>
      <c r="N42" s="136" t="s">
        <v>31</v>
      </c>
      <c r="O42" s="137" t="str">
        <f>_xlfn.IFNA(IF(HLOOKUP($A42,PROBAST!$A$6:$AE$77,11,)="Low RoB","+",IF(HLOOKUP($A42,PROBAST!$A$6:$AE$77,11,)="High RoB","-",IF(HLOOKUP($A42,PROBAST!$A$6:$AE$77,11,)="Unclear","?",""))),"")</f>
        <v>+</v>
      </c>
      <c r="P42" s="137" t="str">
        <f>_xlfn.IFNA(IF(HLOOKUP($A42,PROBAST!$A$6:$AE$77,25,)="Low RoB","+",IF(HLOOKUP($A42,PROBAST!$A$6:$AE$77,25,)="High RoB","-",IF(HLOOKUP($A42,PROBAST!$A$6:$AE$77,25,)="Unclear","?",""))),"")</f>
        <v>+</v>
      </c>
      <c r="Q42" s="137" t="str">
        <f>_xlfn.IFNA(IF(HLOOKUP($A42,PROBAST!$A$6:$AE$77,39,)="Low RoB","+",IF(HLOOKUP($A42,PROBAST!$A$6:$AE$77,39,)="High RoB","-",IF(HLOOKUP($A42,PROBAST!$A$6:$AE$77,39,)="Unclear","?",""))),"")</f>
        <v>+</v>
      </c>
      <c r="R42" s="138" t="str">
        <f>_xlfn.IFNA(IF(HLOOKUP($A42,PROBAST!$A$6:$AE$77,58,)="Low RoB","+",IF(HLOOKUP($A42,PROBAST!$A$6:$AE$77,58,)="High RoB","-",IF(HLOOKUP($A42,PROBAST!$A$6:$AE$77,58,)="Unclear","?",""))),"")</f>
        <v>+</v>
      </c>
      <c r="S42" s="139"/>
      <c r="T42" s="139"/>
      <c r="U42" s="139"/>
      <c r="V42" s="139"/>
      <c r="W42" s="139"/>
    </row>
    <row r="43" spans="1:23" ht="22.5" customHeight="1" thickBot="1" x14ac:dyDescent="0.35">
      <c r="A43" s="377"/>
      <c r="B43" s="379"/>
      <c r="C43" s="372"/>
      <c r="D43" s="376"/>
      <c r="E43" s="372"/>
      <c r="F43" s="372"/>
      <c r="G43" s="372"/>
      <c r="H43" s="374"/>
      <c r="I43" s="372"/>
      <c r="J43" s="372"/>
      <c r="K43" s="381"/>
      <c r="L43" s="374"/>
      <c r="M43" s="374"/>
      <c r="N43" s="141" t="s">
        <v>30</v>
      </c>
      <c r="O43" s="142" t="str">
        <f>_xlfn.IFNA(IF(HLOOKUP($A42,PROBAST!$A$6:$AE$77,12,)="Low concern","+",IF(HLOOKUP($A42,PROBAST!$A$6:$AE$77,12,)="High concern","-",IF(HLOOKUP($A42,PROBAST!$A$6:$AE$77,12,)="Unclear","?",""))),"")</f>
        <v>+</v>
      </c>
      <c r="P43" s="142" t="str">
        <f>_xlfn.IFNA(IF(HLOOKUP($A42,PROBAST!$A$6:$AE$77,26,)="Low concern","+",IF(HLOOKUP($A42,PROBAST!$A$6:$AE$77,26,)="High concern","-",IF(HLOOKUP($A42,PROBAST!$A$6:$AE$77,26,)="Unclear","?",""))),"")</f>
        <v>?</v>
      </c>
      <c r="Q43" s="142" t="str">
        <f>_xlfn.IFNA(IF(HLOOKUP($A42,PROBAST!$A$6:$AE$77,40,)="Low concern","+",IF(HLOOKUP($A42,PROBAST!$A$6:$AE$77,40,)="High concern","-",IF(HLOOKUP($A42,PROBAST!$A$6:$AE$77,40,)="Unclear","?",""))),"")</f>
        <v>+</v>
      </c>
      <c r="R43" s="143"/>
    </row>
    <row r="44" spans="1:23" s="140" customFormat="1" ht="22.5" customHeight="1" x14ac:dyDescent="0.3">
      <c r="A44" s="377" t="str">
        <f>CHARMS!BK$6</f>
        <v/>
      </c>
      <c r="B44" s="378" t="str">
        <f>HLOOKUP($A44,CHARMS!$A$6:$CQ$89,1,)</f>
        <v/>
      </c>
      <c r="C44" s="371" t="str">
        <f>IF($A44="","",HLOOKUP($A44,CHARMS!$A$6:$CQ$89,48,))</f>
        <v/>
      </c>
      <c r="D44" s="375" t="str">
        <f>IF($A44="","",IF(HLOOKUP($A44,CHARMS!$A$6:$CQ$89,40,)=0,"Unkown",HLOOKUP($A44,CHARMS!$A$6:$CQ$89,40,)))</f>
        <v/>
      </c>
      <c r="E44" s="371" t="str">
        <f>IF($A44="","",IF(HLOOKUP($A44,CHARMS!$A$6:$CQ$89,40,)=0,"Unkown",CONCATENATE(HLOOKUP($A44,CHARMS!$A$6:$CQ$89,41,)," (",FIXED((HLOOKUP($A44,CHARMS!$A$6:$CQ$89,41,)/HLOOKUP($A44,CHARMS!$A$6:$CQ$89,40,))*100,1),")")))</f>
        <v/>
      </c>
      <c r="F44" s="371" t="str">
        <f>IF($A44="","",IF(HLOOKUP($A44,CHARMS!$A$6:$CQ$89,33,)=0,"Unkown",HLOOKUP($A44,CHARMS!$A$6:$CQ$89,33,)))</f>
        <v/>
      </c>
      <c r="G44" s="371" t="str">
        <f>IF($A44="","",HLOOKUP($A44,CHARMS!$A$6:$CQ$89,79,))</f>
        <v/>
      </c>
      <c r="H44" s="373" t="str">
        <f>IF($A44="","",HLOOKUP($A44,CHARMS!$A$6:$CQ$89,43,))</f>
        <v/>
      </c>
      <c r="I44" s="371" t="str">
        <f>IF($A44="","",HLOOKUP($A44,CHARMS!$A$6:$CQ$89,49,))</f>
        <v/>
      </c>
      <c r="J44" s="371" t="str">
        <f>IF($A44="","",HLOOKUP($A44,CHARMS!$A$6:$CQ$89,50,))</f>
        <v/>
      </c>
      <c r="K44" s="371" t="str">
        <f>CONCATENATE(IF($A44="","",IF(OR(HLOOKUP($A44,CHARMS!$A$6:$CQ$89,40,)=0,ISTEXT(HLOOKUP($A44,CHARMS!$A$6:$CQ$89,45,))),"n (%): Unkown",CONCATENATE("n (%): ",HLOOKUP($A44,CHARMS!$A$6:$CQ$89,45,)," (",FIXED((HLOOKUP($A44,CHARMS!$A$6:$CQ$89,45,)/HLOOKUP($A44,CHARMS!$A$6:$CQ$89,40,))*100,1),")"))),CHAR(10),IF($A44="","",CONCATENATE("Method: ",HLOOKUP($A44,CHARMS!$A$6:$CQ$89,46,))))</f>
        <v xml:space="preserve">
</v>
      </c>
      <c r="L44" s="373" t="str">
        <f>IF($A44="","",CONCATENATE("Int: ",HLOOKUP($A44,CHARMS!$A$6:$CQ$89,75,),CHAR(10),"Ext : ",HLOOKUP($A44,CHARMS!$A$6:$CQ$89,76,)))</f>
        <v/>
      </c>
      <c r="M44" s="373" t="str">
        <f>IF($A44="","",CONCATENATE("Cal: ",HLOOKUP($A44,CHARMS!$A$6:$CQ$89,53,),CHAR(10),"Disc : ",HLOOKUP($A44,CHARMS!$A$6:$CQ$89,59,),CHAR(10),"Ov: ",HLOOKUP($A44,CHARMS!$A$6:$CQ$89,66,)))</f>
        <v/>
      </c>
      <c r="N44" s="136" t="s">
        <v>31</v>
      </c>
      <c r="O44" s="137" t="str">
        <f>_xlfn.IFNA(IF(HLOOKUP($A44,PROBAST!$A$6:$AE$77,11,)="Low RoB","+",IF(HLOOKUP($A44,PROBAST!$A$6:$AE$77,11,)="High RoB","-",IF(HLOOKUP($A44,PROBAST!$A$6:$AE$77,11,)="Unclear","?",""))),"")</f>
        <v>+</v>
      </c>
      <c r="P44" s="137" t="str">
        <f>_xlfn.IFNA(IF(HLOOKUP($A44,PROBAST!$A$6:$AE$77,25,)="Low RoB","+",IF(HLOOKUP($A44,PROBAST!$A$6:$AE$77,25,)="High RoB","-",IF(HLOOKUP($A44,PROBAST!$A$6:$AE$77,25,)="Unclear","?",""))),"")</f>
        <v>+</v>
      </c>
      <c r="Q44" s="137" t="str">
        <f>_xlfn.IFNA(IF(HLOOKUP($A44,PROBAST!$A$6:$AE$77,39,)="Low RoB","+",IF(HLOOKUP($A44,PROBAST!$A$6:$AE$77,39,)="High RoB","-",IF(HLOOKUP($A44,PROBAST!$A$6:$AE$77,39,)="Unclear","?",""))),"")</f>
        <v>+</v>
      </c>
      <c r="R44" s="138" t="str">
        <f>_xlfn.IFNA(IF(HLOOKUP($A44,PROBAST!$A$6:$AE$77,58,)="Low RoB","+",IF(HLOOKUP($A44,PROBAST!$A$6:$AE$77,58,)="High RoB","-",IF(HLOOKUP($A44,PROBAST!$A$6:$AE$77,58,)="Unclear","?",""))),"")</f>
        <v>+</v>
      </c>
      <c r="S44" s="139"/>
      <c r="T44" s="139"/>
      <c r="U44" s="139"/>
      <c r="V44" s="139"/>
      <c r="W44" s="139"/>
    </row>
    <row r="45" spans="1:23" ht="22.5" customHeight="1" thickBot="1" x14ac:dyDescent="0.35">
      <c r="A45" s="377"/>
      <c r="B45" s="379"/>
      <c r="C45" s="372"/>
      <c r="D45" s="376"/>
      <c r="E45" s="372"/>
      <c r="F45" s="372"/>
      <c r="G45" s="372"/>
      <c r="H45" s="374"/>
      <c r="I45" s="372"/>
      <c r="J45" s="372"/>
      <c r="K45" s="381"/>
      <c r="L45" s="374"/>
      <c r="M45" s="374"/>
      <c r="N45" s="141" t="s">
        <v>30</v>
      </c>
      <c r="O45" s="142" t="str">
        <f>_xlfn.IFNA(IF(HLOOKUP($A44,PROBAST!$A$6:$AE$77,12,)="Low concern","+",IF(HLOOKUP($A44,PROBAST!$A$6:$AE$77,12,)="High concern","-",IF(HLOOKUP($A44,PROBAST!$A$6:$AE$77,12,)="Unclear","?",""))),"")</f>
        <v>+</v>
      </c>
      <c r="P45" s="142" t="str">
        <f>_xlfn.IFNA(IF(HLOOKUP($A44,PROBAST!$A$6:$AE$77,26,)="Low concern","+",IF(HLOOKUP($A44,PROBAST!$A$6:$AE$77,26,)="High concern","-",IF(HLOOKUP($A44,PROBAST!$A$6:$AE$77,26,)="Unclear","?",""))),"")</f>
        <v>?</v>
      </c>
      <c r="Q45" s="142" t="str">
        <f>_xlfn.IFNA(IF(HLOOKUP($A44,PROBAST!$A$6:$AE$77,40,)="Low concern","+",IF(HLOOKUP($A44,PROBAST!$A$6:$AE$77,40,)="High concern","-",IF(HLOOKUP($A44,PROBAST!$A$6:$AE$77,40,)="Unclear","?",""))),"")</f>
        <v>+</v>
      </c>
      <c r="R45" s="143"/>
    </row>
    <row r="46" spans="1:23" s="140" customFormat="1" ht="22.5" customHeight="1" x14ac:dyDescent="0.3">
      <c r="A46" s="377" t="str">
        <f>CHARMS!BN$6</f>
        <v/>
      </c>
      <c r="B46" s="378" t="str">
        <f>HLOOKUP($A46,CHARMS!$A$6:$CQ$89,1,)</f>
        <v/>
      </c>
      <c r="C46" s="371" t="str">
        <f>IF($A46="","",HLOOKUP($A46,CHARMS!$A$6:$CQ$89,48,))</f>
        <v/>
      </c>
      <c r="D46" s="375" t="str">
        <f>IF($A46="","",IF(HLOOKUP($A46,CHARMS!$A$6:$CQ$89,40,)=0,"Unkown",HLOOKUP($A46,CHARMS!$A$6:$CQ$89,40,)))</f>
        <v/>
      </c>
      <c r="E46" s="371" t="str">
        <f>IF($A46="","",IF(HLOOKUP($A46,CHARMS!$A$6:$CQ$89,40,)=0,"Unkown",CONCATENATE(HLOOKUP($A46,CHARMS!$A$6:$CQ$89,41,)," (",FIXED((HLOOKUP($A46,CHARMS!$A$6:$CQ$89,41,)/HLOOKUP($A46,CHARMS!$A$6:$CQ$89,40,))*100,1),")")))</f>
        <v/>
      </c>
      <c r="F46" s="371" t="str">
        <f>IF($A46="","",IF(HLOOKUP($A46,CHARMS!$A$6:$CQ$89,33,)=0,"Unkown",HLOOKUP($A46,CHARMS!$A$6:$CQ$89,33,)))</f>
        <v/>
      </c>
      <c r="G46" s="371" t="str">
        <f>IF($A46="","",HLOOKUP($A46,CHARMS!$A$6:$CQ$89,79,))</f>
        <v/>
      </c>
      <c r="H46" s="373" t="str">
        <f>IF($A46="","",HLOOKUP($A46,CHARMS!$A$6:$CQ$89,43,))</f>
        <v/>
      </c>
      <c r="I46" s="371" t="str">
        <f>IF($A46="","",HLOOKUP($A46,CHARMS!$A$6:$CQ$89,49,))</f>
        <v/>
      </c>
      <c r="J46" s="371" t="str">
        <f>IF($A46="","",HLOOKUP($A46,CHARMS!$A$6:$CQ$89,50,))</f>
        <v/>
      </c>
      <c r="K46" s="371" t="str">
        <f>CONCATENATE(IF($A46="","",IF(OR(HLOOKUP($A46,CHARMS!$A$6:$CQ$89,40,)=0,ISTEXT(HLOOKUP($A46,CHARMS!$A$6:$CQ$89,45,))),"n (%): Unkown",CONCATENATE("n (%): ",HLOOKUP($A46,CHARMS!$A$6:$CQ$89,45,)," (",FIXED((HLOOKUP($A46,CHARMS!$A$6:$CQ$89,45,)/HLOOKUP($A46,CHARMS!$A$6:$CQ$89,40,))*100,1),")"))),CHAR(10),IF($A46="","",CONCATENATE("Method: ",HLOOKUP($A46,CHARMS!$A$6:$CQ$89,46,))))</f>
        <v xml:space="preserve">
</v>
      </c>
      <c r="L46" s="373" t="str">
        <f>IF($A46="","",CONCATENATE("Int: ",HLOOKUP($A46,CHARMS!$A$6:$CQ$89,75,),CHAR(10),"Ext : ",HLOOKUP($A46,CHARMS!$A$6:$CQ$89,76,)))</f>
        <v/>
      </c>
      <c r="M46" s="373" t="str">
        <f>IF($A46="","",CONCATENATE("Cal: ",HLOOKUP($A46,CHARMS!$A$6:$CQ$89,53,),CHAR(10),"Disc : ",HLOOKUP($A46,CHARMS!$A$6:$CQ$89,59,),CHAR(10),"Ov: ",HLOOKUP($A46,CHARMS!$A$6:$CQ$89,66,)))</f>
        <v/>
      </c>
      <c r="N46" s="136" t="s">
        <v>31</v>
      </c>
      <c r="O46" s="137" t="str">
        <f>_xlfn.IFNA(IF(HLOOKUP($A46,PROBAST!$A$6:$AE$77,11,)="Low RoB","+",IF(HLOOKUP($A46,PROBAST!$A$6:$AE$77,11,)="High RoB","-",IF(HLOOKUP($A46,PROBAST!$A$6:$AE$77,11,)="Unclear","?",""))),"")</f>
        <v>+</v>
      </c>
      <c r="P46" s="137" t="str">
        <f>_xlfn.IFNA(IF(HLOOKUP($A46,PROBAST!$A$6:$AE$77,25,)="Low RoB","+",IF(HLOOKUP($A46,PROBAST!$A$6:$AE$77,25,)="High RoB","-",IF(HLOOKUP($A46,PROBAST!$A$6:$AE$77,25,)="Unclear","?",""))),"")</f>
        <v>+</v>
      </c>
      <c r="Q46" s="137" t="str">
        <f>_xlfn.IFNA(IF(HLOOKUP($A46,PROBAST!$A$6:$AE$77,39,)="Low RoB","+",IF(HLOOKUP($A46,PROBAST!$A$6:$AE$77,39,)="High RoB","-",IF(HLOOKUP($A46,PROBAST!$A$6:$AE$77,39,)="Unclear","?",""))),"")</f>
        <v>+</v>
      </c>
      <c r="R46" s="138" t="str">
        <f>_xlfn.IFNA(IF(HLOOKUP($A46,PROBAST!$A$6:$AE$77,58,)="Low RoB","+",IF(HLOOKUP($A46,PROBAST!$A$6:$AE$77,58,)="High RoB","-",IF(HLOOKUP($A46,PROBAST!$A$6:$AE$77,58,)="Unclear","?",""))),"")</f>
        <v>+</v>
      </c>
      <c r="S46" s="139"/>
      <c r="T46" s="139"/>
      <c r="U46" s="139"/>
      <c r="V46" s="139"/>
      <c r="W46" s="139"/>
    </row>
    <row r="47" spans="1:23" ht="22.5" customHeight="1" thickBot="1" x14ac:dyDescent="0.35">
      <c r="A47" s="377"/>
      <c r="B47" s="379"/>
      <c r="C47" s="372"/>
      <c r="D47" s="376"/>
      <c r="E47" s="372"/>
      <c r="F47" s="372"/>
      <c r="G47" s="372"/>
      <c r="H47" s="374"/>
      <c r="I47" s="372"/>
      <c r="J47" s="372"/>
      <c r="K47" s="381"/>
      <c r="L47" s="374"/>
      <c r="M47" s="374"/>
      <c r="N47" s="141" t="s">
        <v>30</v>
      </c>
      <c r="O47" s="142" t="str">
        <f>_xlfn.IFNA(IF(HLOOKUP($A46,PROBAST!$A$6:$AE$77,12,)="Low concern","+",IF(HLOOKUP($A46,PROBAST!$A$6:$AE$77,12,)="High concern","-",IF(HLOOKUP($A46,PROBAST!$A$6:$AE$77,12,)="Unclear","?",""))),"")</f>
        <v>+</v>
      </c>
      <c r="P47" s="142" t="str">
        <f>_xlfn.IFNA(IF(HLOOKUP($A46,PROBAST!$A$6:$AE$77,26,)="Low concern","+",IF(HLOOKUP($A46,PROBAST!$A$6:$AE$77,26,)="High concern","-",IF(HLOOKUP($A46,PROBAST!$A$6:$AE$77,26,)="Unclear","?",""))),"")</f>
        <v>?</v>
      </c>
      <c r="Q47" s="142" t="str">
        <f>_xlfn.IFNA(IF(HLOOKUP($A46,PROBAST!$A$6:$AE$77,40,)="Low concern","+",IF(HLOOKUP($A46,PROBAST!$A$6:$AE$77,40,)="High concern","-",IF(HLOOKUP($A46,PROBAST!$A$6:$AE$77,40,)="Unclear","?",""))),"")</f>
        <v>+</v>
      </c>
      <c r="R47" s="143"/>
    </row>
    <row r="48" spans="1:23" s="140" customFormat="1" ht="22.5" customHeight="1" x14ac:dyDescent="0.3">
      <c r="A48" s="377" t="str">
        <f>CHARMS!BQ$6</f>
        <v/>
      </c>
      <c r="B48" s="378" t="str">
        <f>HLOOKUP($A48,CHARMS!$A$6:$CQ$89,1,)</f>
        <v/>
      </c>
      <c r="C48" s="371" t="str">
        <f>IF($A48="","",HLOOKUP($A48,CHARMS!$A$6:$CQ$89,48,))</f>
        <v/>
      </c>
      <c r="D48" s="375" t="str">
        <f>IF($A48="","",IF(HLOOKUP($A48,CHARMS!$A$6:$CQ$89,40,)=0,"Unkown",HLOOKUP($A48,CHARMS!$A$6:$CQ$89,40,)))</f>
        <v/>
      </c>
      <c r="E48" s="371" t="str">
        <f>IF($A48="","",IF(HLOOKUP($A48,CHARMS!$A$6:$CQ$89,40,)=0,"Unkown",CONCATENATE(HLOOKUP($A48,CHARMS!$A$6:$CQ$89,41,)," (",FIXED((HLOOKUP($A48,CHARMS!$A$6:$CQ$89,41,)/HLOOKUP($A48,CHARMS!$A$6:$CQ$89,40,))*100,1),")")))</f>
        <v/>
      </c>
      <c r="F48" s="371" t="str">
        <f>IF($A48="","",IF(HLOOKUP($A48,CHARMS!$A$6:$CQ$89,33,)=0,"Unkown",HLOOKUP($A48,CHARMS!$A$6:$CQ$89,33,)))</f>
        <v/>
      </c>
      <c r="G48" s="371" t="str">
        <f>IF($A48="","",HLOOKUP($A48,CHARMS!$A$6:$CQ$89,79,))</f>
        <v/>
      </c>
      <c r="H48" s="373" t="str">
        <f>IF($A48="","",HLOOKUP($A48,CHARMS!$A$6:$CQ$89,43,))</f>
        <v/>
      </c>
      <c r="I48" s="371" t="str">
        <f>IF($A48="","",HLOOKUP($A48,CHARMS!$A$6:$CQ$89,49,))</f>
        <v/>
      </c>
      <c r="J48" s="371" t="str">
        <f>IF($A48="","",HLOOKUP($A48,CHARMS!$A$6:$CQ$89,50,))</f>
        <v/>
      </c>
      <c r="K48" s="371" t="str">
        <f>CONCATENATE(IF($A48="","",IF(OR(HLOOKUP($A48,CHARMS!$A$6:$CQ$89,40,)=0,ISTEXT(HLOOKUP($A48,CHARMS!$A$6:$CQ$89,45,))),"n (%): Unkown",CONCATENATE("n (%): ",HLOOKUP($A48,CHARMS!$A$6:$CQ$89,45,)," (",FIXED((HLOOKUP($A48,CHARMS!$A$6:$CQ$89,45,)/HLOOKUP($A48,CHARMS!$A$6:$CQ$89,40,))*100,1),")"))),CHAR(10),IF($A48="","",CONCATENATE("Method: ",HLOOKUP($A48,CHARMS!$A$6:$CQ$89,46,))))</f>
        <v xml:space="preserve">
</v>
      </c>
      <c r="L48" s="373" t="str">
        <f>IF($A48="","",CONCATENATE("Int: ",HLOOKUP($A48,CHARMS!$A$6:$CQ$89,75,),CHAR(10),"Ext : ",HLOOKUP($A48,CHARMS!$A$6:$CQ$89,76,)))</f>
        <v/>
      </c>
      <c r="M48" s="373" t="str">
        <f>IF($A48="","",CONCATENATE("Cal: ",HLOOKUP($A48,CHARMS!$A$6:$CQ$89,53,),CHAR(10),"Disc : ",HLOOKUP($A48,CHARMS!$A$6:$CQ$89,59,),CHAR(10),"Ov: ",HLOOKUP($A48,CHARMS!$A$6:$CQ$89,66,)))</f>
        <v/>
      </c>
      <c r="N48" s="136" t="s">
        <v>31</v>
      </c>
      <c r="O48" s="137" t="str">
        <f>_xlfn.IFNA(IF(HLOOKUP($A48,PROBAST!$A$6:$AE$77,11,)="Low RoB","+",IF(HLOOKUP($A48,PROBAST!$A$6:$AE$77,11,)="High RoB","-",IF(HLOOKUP($A48,PROBAST!$A$6:$AE$77,11,)="Unclear","?",""))),"")</f>
        <v>+</v>
      </c>
      <c r="P48" s="137" t="str">
        <f>_xlfn.IFNA(IF(HLOOKUP($A48,PROBAST!$A$6:$AE$77,25,)="Low RoB","+",IF(HLOOKUP($A48,PROBAST!$A$6:$AE$77,25,)="High RoB","-",IF(HLOOKUP($A48,PROBAST!$A$6:$AE$77,25,)="Unclear","?",""))),"")</f>
        <v>+</v>
      </c>
      <c r="Q48" s="137" t="str">
        <f>_xlfn.IFNA(IF(HLOOKUP($A48,PROBAST!$A$6:$AE$77,39,)="Low RoB","+",IF(HLOOKUP($A48,PROBAST!$A$6:$AE$77,39,)="High RoB","-",IF(HLOOKUP($A48,PROBAST!$A$6:$AE$77,39,)="Unclear","?",""))),"")</f>
        <v>+</v>
      </c>
      <c r="R48" s="138" t="str">
        <f>_xlfn.IFNA(IF(HLOOKUP($A48,PROBAST!$A$6:$AE$77,58,)="Low RoB","+",IF(HLOOKUP($A48,PROBAST!$A$6:$AE$77,58,)="High RoB","-",IF(HLOOKUP($A48,PROBAST!$A$6:$AE$77,58,)="Unclear","?",""))),"")</f>
        <v>+</v>
      </c>
      <c r="S48" s="139"/>
      <c r="T48" s="139"/>
      <c r="U48" s="139"/>
      <c r="V48" s="139"/>
      <c r="W48" s="139"/>
    </row>
    <row r="49" spans="1:23" ht="22.5" customHeight="1" thickBot="1" x14ac:dyDescent="0.35">
      <c r="A49" s="377"/>
      <c r="B49" s="379"/>
      <c r="C49" s="372"/>
      <c r="D49" s="376"/>
      <c r="E49" s="372"/>
      <c r="F49" s="372"/>
      <c r="G49" s="372"/>
      <c r="H49" s="374"/>
      <c r="I49" s="372"/>
      <c r="J49" s="372"/>
      <c r="K49" s="381"/>
      <c r="L49" s="374"/>
      <c r="M49" s="374"/>
      <c r="N49" s="141" t="s">
        <v>30</v>
      </c>
      <c r="O49" s="142" t="str">
        <f>_xlfn.IFNA(IF(HLOOKUP($A48,PROBAST!$A$6:$AE$77,12,)="Low concern","+",IF(HLOOKUP($A48,PROBAST!$A$6:$AE$77,12,)="High concern","-",IF(HLOOKUP($A48,PROBAST!$A$6:$AE$77,12,)="Unclear","?",""))),"")</f>
        <v>+</v>
      </c>
      <c r="P49" s="142" t="str">
        <f>_xlfn.IFNA(IF(HLOOKUP($A48,PROBAST!$A$6:$AE$77,26,)="Low concern","+",IF(HLOOKUP($A48,PROBAST!$A$6:$AE$77,26,)="High concern","-",IF(HLOOKUP($A48,PROBAST!$A$6:$AE$77,26,)="Unclear","?",""))),"")</f>
        <v>?</v>
      </c>
      <c r="Q49" s="142" t="str">
        <f>_xlfn.IFNA(IF(HLOOKUP($A48,PROBAST!$A$6:$AE$77,40,)="Low concern","+",IF(HLOOKUP($A48,PROBAST!$A$6:$AE$77,40,)="High concern","-",IF(HLOOKUP($A48,PROBAST!$A$6:$AE$77,40,)="Unclear","?",""))),"")</f>
        <v>+</v>
      </c>
      <c r="R49" s="143"/>
    </row>
    <row r="50" spans="1:23" s="140" customFormat="1" ht="22.5" customHeight="1" x14ac:dyDescent="0.3">
      <c r="A50" s="377" t="str">
        <f>CHARMS!BT$6</f>
        <v/>
      </c>
      <c r="B50" s="378" t="str">
        <f>HLOOKUP($A50,CHARMS!$A$6:$CQ$89,1,)</f>
        <v/>
      </c>
      <c r="C50" s="371" t="str">
        <f>IF($A50="","",HLOOKUP($A50,CHARMS!$A$6:$CQ$89,48,))</f>
        <v/>
      </c>
      <c r="D50" s="375" t="str">
        <f>IF($A50="","",IF(HLOOKUP($A50,CHARMS!$A$6:$CQ$89,40,)=0,"Unkown",HLOOKUP($A50,CHARMS!$A$6:$CQ$89,40,)))</f>
        <v/>
      </c>
      <c r="E50" s="371" t="str">
        <f>IF($A50="","",IF(HLOOKUP($A50,CHARMS!$A$6:$CQ$89,40,)=0,"Unkown",CONCATENATE(HLOOKUP($A50,CHARMS!$A$6:$CQ$89,41,)," (",FIXED((HLOOKUP($A50,CHARMS!$A$6:$CQ$89,41,)/HLOOKUP($A50,CHARMS!$A$6:$CQ$89,40,))*100,1),")")))</f>
        <v/>
      </c>
      <c r="F50" s="371" t="str">
        <f>IF($A50="","",IF(HLOOKUP($A50,CHARMS!$A$6:$CQ$89,33,)=0,"Unkown",HLOOKUP($A50,CHARMS!$A$6:$CQ$89,33,)))</f>
        <v/>
      </c>
      <c r="G50" s="371" t="str">
        <f>IF($A50="","",HLOOKUP($A50,CHARMS!$A$6:$CQ$89,79,))</f>
        <v/>
      </c>
      <c r="H50" s="373" t="str">
        <f>IF($A50="","",HLOOKUP($A50,CHARMS!$A$6:$CQ$89,43,))</f>
        <v/>
      </c>
      <c r="I50" s="371" t="str">
        <f>IF($A50="","",HLOOKUP($A50,CHARMS!$A$6:$CQ$89,49,))</f>
        <v/>
      </c>
      <c r="J50" s="371" t="str">
        <f>IF($A50="","",HLOOKUP($A50,CHARMS!$A$6:$CQ$89,50,))</f>
        <v/>
      </c>
      <c r="K50" s="371" t="str">
        <f>CONCATENATE(IF($A50="","",IF(OR(HLOOKUP($A50,CHARMS!$A$6:$CQ$89,40,)=0,ISTEXT(HLOOKUP($A50,CHARMS!$A$6:$CQ$89,45,))),"n (%): Unkown",CONCATENATE("n (%): ",HLOOKUP($A50,CHARMS!$A$6:$CQ$89,45,)," (",FIXED((HLOOKUP($A50,CHARMS!$A$6:$CQ$89,45,)/HLOOKUP($A50,CHARMS!$A$6:$CQ$89,40,))*100,1),")"))),CHAR(10),IF($A50="","",CONCATENATE("Method: ",HLOOKUP($A50,CHARMS!$A$6:$CQ$89,46,))))</f>
        <v xml:space="preserve">
</v>
      </c>
      <c r="L50" s="373" t="str">
        <f>IF($A50="","",CONCATENATE("Int: ",HLOOKUP($A50,CHARMS!$A$6:$CQ$89,75,),CHAR(10),"Ext : ",HLOOKUP($A50,CHARMS!$A$6:$CQ$89,76,)))</f>
        <v/>
      </c>
      <c r="M50" s="373" t="str">
        <f>IF($A50="","",CONCATENATE("Cal: ",HLOOKUP($A50,CHARMS!$A$6:$CQ$89,53,),CHAR(10),"Disc : ",HLOOKUP($A50,CHARMS!$A$6:$CQ$89,59,),CHAR(10),"Ov: ",HLOOKUP($A50,CHARMS!$A$6:$CQ$89,66,)))</f>
        <v/>
      </c>
      <c r="N50" s="136" t="s">
        <v>31</v>
      </c>
      <c r="O50" s="137" t="str">
        <f>_xlfn.IFNA(IF(HLOOKUP($A50,PROBAST!$A$6:$AE$77,11,)="Low RoB","+",IF(HLOOKUP($A50,PROBAST!$A$6:$AE$77,11,)="High RoB","-",IF(HLOOKUP($A50,PROBAST!$A$6:$AE$77,11,)="Unclear","?",""))),"")</f>
        <v>+</v>
      </c>
      <c r="P50" s="137" t="str">
        <f>_xlfn.IFNA(IF(HLOOKUP($A50,PROBAST!$A$6:$AE$77,25,)="Low RoB","+",IF(HLOOKUP($A50,PROBAST!$A$6:$AE$77,25,)="High RoB","-",IF(HLOOKUP($A50,PROBAST!$A$6:$AE$77,25,)="Unclear","?",""))),"")</f>
        <v>+</v>
      </c>
      <c r="Q50" s="137" t="str">
        <f>_xlfn.IFNA(IF(HLOOKUP($A50,PROBAST!$A$6:$AE$77,39,)="Low RoB","+",IF(HLOOKUP($A50,PROBAST!$A$6:$AE$77,39,)="High RoB","-",IF(HLOOKUP($A50,PROBAST!$A$6:$AE$77,39,)="Unclear","?",""))),"")</f>
        <v>+</v>
      </c>
      <c r="R50" s="138" t="str">
        <f>_xlfn.IFNA(IF(HLOOKUP($A50,PROBAST!$A$6:$AE$77,58,)="Low RoB","+",IF(HLOOKUP($A50,PROBAST!$A$6:$AE$77,58,)="High RoB","-",IF(HLOOKUP($A50,PROBAST!$A$6:$AE$77,58,)="Unclear","?",""))),"")</f>
        <v>+</v>
      </c>
      <c r="S50" s="139"/>
      <c r="T50" s="139"/>
      <c r="U50" s="139"/>
      <c r="V50" s="139"/>
      <c r="W50" s="139"/>
    </row>
    <row r="51" spans="1:23" ht="22.5" customHeight="1" thickBot="1" x14ac:dyDescent="0.35">
      <c r="A51" s="377"/>
      <c r="B51" s="379"/>
      <c r="C51" s="372"/>
      <c r="D51" s="376"/>
      <c r="E51" s="372"/>
      <c r="F51" s="372"/>
      <c r="G51" s="372"/>
      <c r="H51" s="374"/>
      <c r="I51" s="372"/>
      <c r="J51" s="372"/>
      <c r="K51" s="381"/>
      <c r="L51" s="374"/>
      <c r="M51" s="374"/>
      <c r="N51" s="141" t="s">
        <v>30</v>
      </c>
      <c r="O51" s="142" t="str">
        <f>_xlfn.IFNA(IF(HLOOKUP($A50,PROBAST!$A$6:$AE$77,12,)="Low concern","+",IF(HLOOKUP($A50,PROBAST!$A$6:$AE$77,12,)="High concern","-",IF(HLOOKUP($A50,PROBAST!$A$6:$AE$77,12,)="Unclear","?",""))),"")</f>
        <v>+</v>
      </c>
      <c r="P51" s="142" t="str">
        <f>_xlfn.IFNA(IF(HLOOKUP($A50,PROBAST!$A$6:$AE$77,26,)="Low concern","+",IF(HLOOKUP($A50,PROBAST!$A$6:$AE$77,26,)="High concern","-",IF(HLOOKUP($A50,PROBAST!$A$6:$AE$77,26,)="Unclear","?",""))),"")</f>
        <v>?</v>
      </c>
      <c r="Q51" s="142" t="str">
        <f>_xlfn.IFNA(IF(HLOOKUP($A50,PROBAST!$A$6:$AE$77,40,)="Low concern","+",IF(HLOOKUP($A50,PROBAST!$A$6:$AE$77,40,)="High concern","-",IF(HLOOKUP($A50,PROBAST!$A$6:$AE$77,40,)="Unclear","?",""))),"")</f>
        <v>+</v>
      </c>
      <c r="R51" s="143"/>
    </row>
    <row r="52" spans="1:23" s="140" customFormat="1" ht="22.5" customHeight="1" x14ac:dyDescent="0.3">
      <c r="A52" s="377" t="str">
        <f>CHARMS!BW$6</f>
        <v/>
      </c>
      <c r="B52" s="378" t="str">
        <f>HLOOKUP($A52,CHARMS!$A$6:$CQ$89,1,)</f>
        <v/>
      </c>
      <c r="C52" s="371" t="str">
        <f>IF($A52="","",HLOOKUP($A52,CHARMS!$A$6:$CQ$89,48,))</f>
        <v/>
      </c>
      <c r="D52" s="375" t="str">
        <f>IF($A52="","",IF(HLOOKUP($A52,CHARMS!$A$6:$CQ$89,40,)=0,"Unkown",HLOOKUP($A52,CHARMS!$A$6:$CQ$89,40,)))</f>
        <v/>
      </c>
      <c r="E52" s="371" t="str">
        <f>IF($A52="","",IF(HLOOKUP($A52,CHARMS!$A$6:$CQ$89,40,)=0,"Unkown",CONCATENATE(HLOOKUP($A52,CHARMS!$A$6:$CQ$89,41,)," (",FIXED((HLOOKUP($A52,CHARMS!$A$6:$CQ$89,41,)/HLOOKUP($A52,CHARMS!$A$6:$CQ$89,40,))*100,1),")")))</f>
        <v/>
      </c>
      <c r="F52" s="371" t="str">
        <f>IF($A52="","",IF(HLOOKUP($A52,CHARMS!$A$6:$CQ$89,33,)=0,"Unkown",HLOOKUP($A52,CHARMS!$A$6:$CQ$89,33,)))</f>
        <v/>
      </c>
      <c r="G52" s="371" t="str">
        <f>IF($A52="","",HLOOKUP($A52,CHARMS!$A$6:$CQ$89,79,))</f>
        <v/>
      </c>
      <c r="H52" s="373" t="str">
        <f>IF($A52="","",HLOOKUP($A52,CHARMS!$A$6:$CQ$89,43,))</f>
        <v/>
      </c>
      <c r="I52" s="371" t="str">
        <f>IF($A52="","",HLOOKUP($A52,CHARMS!$A$6:$CQ$89,49,))</f>
        <v/>
      </c>
      <c r="J52" s="371" t="str">
        <f>IF($A52="","",HLOOKUP($A52,CHARMS!$A$6:$CQ$89,50,))</f>
        <v/>
      </c>
      <c r="K52" s="371" t="str">
        <f>CONCATENATE(IF($A52="","",IF(OR(HLOOKUP($A52,CHARMS!$A$6:$CQ$89,40,)=0,ISTEXT(HLOOKUP($A52,CHARMS!$A$6:$CQ$89,45,))),"n (%): Unkown",CONCATENATE("n (%): ",HLOOKUP($A52,CHARMS!$A$6:$CQ$89,45,)," (",FIXED((HLOOKUP($A52,CHARMS!$A$6:$CQ$89,45,)/HLOOKUP($A52,CHARMS!$A$6:$CQ$89,40,))*100,1),")"))),CHAR(10),IF($A52="","",CONCATENATE("Method: ",HLOOKUP($A52,CHARMS!$A$6:$CQ$89,46,))))</f>
        <v xml:space="preserve">
</v>
      </c>
      <c r="L52" s="373" t="str">
        <f>IF($A52="","",CONCATENATE("Int: ",HLOOKUP($A52,CHARMS!$A$6:$CQ$89,75,),CHAR(10),"Ext : ",HLOOKUP($A52,CHARMS!$A$6:$CQ$89,76,)))</f>
        <v/>
      </c>
      <c r="M52" s="373" t="str">
        <f>IF($A52="","",CONCATENATE("Cal: ",HLOOKUP($A52,CHARMS!$A$6:$CQ$89,53,),CHAR(10),"Disc : ",HLOOKUP($A52,CHARMS!$A$6:$CQ$89,59,),CHAR(10),"Ov: ",HLOOKUP($A52,CHARMS!$A$6:$CQ$89,66,)))</f>
        <v/>
      </c>
      <c r="N52" s="136" t="s">
        <v>31</v>
      </c>
      <c r="O52" s="137" t="str">
        <f>_xlfn.IFNA(IF(HLOOKUP($A52,PROBAST!$A$6:$AE$77,11,)="Low RoB","+",IF(HLOOKUP($A52,PROBAST!$A$6:$AE$77,11,)="High RoB","-",IF(HLOOKUP($A52,PROBAST!$A$6:$AE$77,11,)="Unclear","?",""))),"")</f>
        <v>+</v>
      </c>
      <c r="P52" s="137" t="str">
        <f>_xlfn.IFNA(IF(HLOOKUP($A52,PROBAST!$A$6:$AE$77,25,)="Low RoB","+",IF(HLOOKUP($A52,PROBAST!$A$6:$AE$77,25,)="High RoB","-",IF(HLOOKUP($A52,PROBAST!$A$6:$AE$77,25,)="Unclear","?",""))),"")</f>
        <v>+</v>
      </c>
      <c r="Q52" s="137" t="str">
        <f>_xlfn.IFNA(IF(HLOOKUP($A52,PROBAST!$A$6:$AE$77,39,)="Low RoB","+",IF(HLOOKUP($A52,PROBAST!$A$6:$AE$77,39,)="High RoB","-",IF(HLOOKUP($A52,PROBAST!$A$6:$AE$77,39,)="Unclear","?",""))),"")</f>
        <v>+</v>
      </c>
      <c r="R52" s="138" t="str">
        <f>_xlfn.IFNA(IF(HLOOKUP($A52,PROBAST!$A$6:$AE$77,58,)="Low RoB","+",IF(HLOOKUP($A52,PROBAST!$A$6:$AE$77,58,)="High RoB","-",IF(HLOOKUP($A52,PROBAST!$A$6:$AE$77,58,)="Unclear","?",""))),"")</f>
        <v>+</v>
      </c>
      <c r="S52" s="139"/>
      <c r="T52" s="139"/>
      <c r="U52" s="139"/>
      <c r="V52" s="139"/>
      <c r="W52" s="139"/>
    </row>
    <row r="53" spans="1:23" ht="22.5" customHeight="1" thickBot="1" x14ac:dyDescent="0.35">
      <c r="A53" s="377"/>
      <c r="B53" s="379"/>
      <c r="C53" s="372"/>
      <c r="D53" s="376"/>
      <c r="E53" s="372"/>
      <c r="F53" s="372"/>
      <c r="G53" s="372"/>
      <c r="H53" s="374"/>
      <c r="I53" s="372"/>
      <c r="J53" s="372"/>
      <c r="K53" s="381"/>
      <c r="L53" s="374"/>
      <c r="M53" s="374"/>
      <c r="N53" s="141" t="s">
        <v>30</v>
      </c>
      <c r="O53" s="142" t="str">
        <f>_xlfn.IFNA(IF(HLOOKUP($A52,PROBAST!$A$6:$AE$77,12,)="Low concern","+",IF(HLOOKUP($A52,PROBAST!$A$6:$AE$77,12,)="High concern","-",IF(HLOOKUP($A52,PROBAST!$A$6:$AE$77,12,)="Unclear","?",""))),"")</f>
        <v>+</v>
      </c>
      <c r="P53" s="142" t="str">
        <f>_xlfn.IFNA(IF(HLOOKUP($A52,PROBAST!$A$6:$AE$77,26,)="Low concern","+",IF(HLOOKUP($A52,PROBAST!$A$6:$AE$77,26,)="High concern","-",IF(HLOOKUP($A52,PROBAST!$A$6:$AE$77,26,)="Unclear","?",""))),"")</f>
        <v>?</v>
      </c>
      <c r="Q53" s="142" t="str">
        <f>_xlfn.IFNA(IF(HLOOKUP($A52,PROBAST!$A$6:$AE$77,40,)="Low concern","+",IF(HLOOKUP($A52,PROBAST!$A$6:$AE$77,40,)="High concern","-",IF(HLOOKUP($A52,PROBAST!$A$6:$AE$77,40,)="Unclear","?",""))),"")</f>
        <v>+</v>
      </c>
      <c r="R53" s="143"/>
    </row>
    <row r="54" spans="1:23" s="140" customFormat="1" ht="22.5" customHeight="1" x14ac:dyDescent="0.3">
      <c r="A54" s="377" t="str">
        <f>CHARMS!BZ$6</f>
        <v/>
      </c>
      <c r="B54" s="378" t="str">
        <f>HLOOKUP($A54,CHARMS!$A$6:$CQ$89,1,)</f>
        <v/>
      </c>
      <c r="C54" s="371" t="str">
        <f>IF($A54="","",HLOOKUP($A54,CHARMS!$A$6:$CQ$89,48,))</f>
        <v/>
      </c>
      <c r="D54" s="375" t="str">
        <f>IF($A54="","",IF(HLOOKUP($A54,CHARMS!$A$6:$CQ$89,40,)=0,"Unkown",HLOOKUP($A54,CHARMS!$A$6:$CQ$89,40,)))</f>
        <v/>
      </c>
      <c r="E54" s="371" t="str">
        <f>IF($A54="","",IF(HLOOKUP($A54,CHARMS!$A$6:$CQ$89,40,)=0,"Unkown",CONCATENATE(HLOOKUP($A54,CHARMS!$A$6:$CQ$89,41,)," (",FIXED((HLOOKUP($A54,CHARMS!$A$6:$CQ$89,41,)/HLOOKUP($A54,CHARMS!$A$6:$CQ$89,40,))*100,1),")")))</f>
        <v/>
      </c>
      <c r="F54" s="371" t="str">
        <f>IF($A54="","",IF(HLOOKUP($A54,CHARMS!$A$6:$CQ$89,33,)=0,"Unkown",HLOOKUP($A54,CHARMS!$A$6:$CQ$89,33,)))</f>
        <v/>
      </c>
      <c r="G54" s="371" t="str">
        <f>IF($A54="","",HLOOKUP($A54,CHARMS!$A$6:$CQ$89,79,))</f>
        <v/>
      </c>
      <c r="H54" s="373" t="str">
        <f>IF($A54="","",HLOOKUP($A54,CHARMS!$A$6:$CQ$89,43,))</f>
        <v/>
      </c>
      <c r="I54" s="371" t="str">
        <f>IF($A54="","",HLOOKUP($A54,CHARMS!$A$6:$CQ$89,49,))</f>
        <v/>
      </c>
      <c r="J54" s="371" t="str">
        <f>IF($A54="","",HLOOKUP($A54,CHARMS!$A$6:$CQ$89,50,))</f>
        <v/>
      </c>
      <c r="K54" s="371" t="str">
        <f>CONCATENATE(IF($A54="","",IF(OR(HLOOKUP($A54,CHARMS!$A$6:$CQ$89,40,)=0,ISTEXT(HLOOKUP($A54,CHARMS!$A$6:$CQ$89,45,))),"n (%): Unkown",CONCATENATE("n (%): ",HLOOKUP($A54,CHARMS!$A$6:$CQ$89,45,)," (",FIXED((HLOOKUP($A54,CHARMS!$A$6:$CQ$89,45,)/HLOOKUP($A54,CHARMS!$A$6:$CQ$89,40,))*100,1),")"))),CHAR(10),IF($A54="","",CONCATENATE("Method: ",HLOOKUP($A54,CHARMS!$A$6:$CQ$89,46,))))</f>
        <v xml:space="preserve">
</v>
      </c>
      <c r="L54" s="373" t="str">
        <f>IF($A54="","",CONCATENATE("Int: ",HLOOKUP($A54,CHARMS!$A$6:$CQ$89,75,),CHAR(10),"Ext : ",HLOOKUP($A54,CHARMS!$A$6:$CQ$89,76,)))</f>
        <v/>
      </c>
      <c r="M54" s="373" t="str">
        <f>IF($A54="","",CONCATENATE("Cal: ",HLOOKUP($A54,CHARMS!$A$6:$CQ$89,53,),CHAR(10),"Disc : ",HLOOKUP($A54,CHARMS!$A$6:$CQ$89,59,),CHAR(10),"Ov: ",HLOOKUP($A54,CHARMS!$A$6:$CQ$89,66,)))</f>
        <v/>
      </c>
      <c r="N54" s="136" t="s">
        <v>31</v>
      </c>
      <c r="O54" s="137" t="str">
        <f>_xlfn.IFNA(IF(HLOOKUP($A54,PROBAST!$A$6:$AE$77,11,)="Low RoB","+",IF(HLOOKUP($A54,PROBAST!$A$6:$AE$77,11,)="High RoB","-",IF(HLOOKUP($A54,PROBAST!$A$6:$AE$77,11,)="Unclear","?",""))),"")</f>
        <v>+</v>
      </c>
      <c r="P54" s="137" t="str">
        <f>_xlfn.IFNA(IF(HLOOKUP($A54,PROBAST!$A$6:$AE$77,25,)="Low RoB","+",IF(HLOOKUP($A54,PROBAST!$A$6:$AE$77,25,)="High RoB","-",IF(HLOOKUP($A54,PROBAST!$A$6:$AE$77,25,)="Unclear","?",""))),"")</f>
        <v>+</v>
      </c>
      <c r="Q54" s="137" t="str">
        <f>_xlfn.IFNA(IF(HLOOKUP($A54,PROBAST!$A$6:$AE$77,39,)="Low RoB","+",IF(HLOOKUP($A54,PROBAST!$A$6:$AE$77,39,)="High RoB","-",IF(HLOOKUP($A54,PROBAST!$A$6:$AE$77,39,)="Unclear","?",""))),"")</f>
        <v>+</v>
      </c>
      <c r="R54" s="138" t="str">
        <f>_xlfn.IFNA(IF(HLOOKUP($A54,PROBAST!$A$6:$AE$77,58,)="Low RoB","+",IF(HLOOKUP($A54,PROBAST!$A$6:$AE$77,58,)="High RoB","-",IF(HLOOKUP($A54,PROBAST!$A$6:$AE$77,58,)="Unclear","?",""))),"")</f>
        <v>+</v>
      </c>
      <c r="S54" s="139"/>
      <c r="T54" s="139"/>
      <c r="U54" s="139"/>
      <c r="V54" s="139"/>
      <c r="W54" s="139"/>
    </row>
    <row r="55" spans="1:23" ht="22.5" customHeight="1" thickBot="1" x14ac:dyDescent="0.35">
      <c r="A55" s="377"/>
      <c r="B55" s="379"/>
      <c r="C55" s="372"/>
      <c r="D55" s="376"/>
      <c r="E55" s="372"/>
      <c r="F55" s="372"/>
      <c r="G55" s="372"/>
      <c r="H55" s="374"/>
      <c r="I55" s="372"/>
      <c r="J55" s="372"/>
      <c r="K55" s="381"/>
      <c r="L55" s="374"/>
      <c r="M55" s="374"/>
      <c r="N55" s="141" t="s">
        <v>30</v>
      </c>
      <c r="O55" s="142" t="str">
        <f>_xlfn.IFNA(IF(HLOOKUP($A54,PROBAST!$A$6:$AE$77,12,)="Low concern","+",IF(HLOOKUP($A54,PROBAST!$A$6:$AE$77,12,)="High concern","-",IF(HLOOKUP($A54,PROBAST!$A$6:$AE$77,12,)="Unclear","?",""))),"")</f>
        <v>+</v>
      </c>
      <c r="P55" s="142" t="str">
        <f>_xlfn.IFNA(IF(HLOOKUP($A54,PROBAST!$A$6:$AE$77,26,)="Low concern","+",IF(HLOOKUP($A54,PROBAST!$A$6:$AE$77,26,)="High concern","-",IF(HLOOKUP($A54,PROBAST!$A$6:$AE$77,26,)="Unclear","?",""))),"")</f>
        <v>?</v>
      </c>
      <c r="Q55" s="142" t="str">
        <f>_xlfn.IFNA(IF(HLOOKUP($A54,PROBAST!$A$6:$AE$77,40,)="Low concern","+",IF(HLOOKUP($A54,PROBAST!$A$6:$AE$77,40,)="High concern","-",IF(HLOOKUP($A54,PROBAST!$A$6:$AE$77,40,)="Unclear","?",""))),"")</f>
        <v>+</v>
      </c>
      <c r="R55" s="143"/>
    </row>
    <row r="56" spans="1:23" s="140" customFormat="1" ht="22.5" customHeight="1" x14ac:dyDescent="0.3">
      <c r="A56" s="377" t="str">
        <f>CHARMS!CC$6</f>
        <v/>
      </c>
      <c r="B56" s="378" t="str">
        <f>HLOOKUP($A56,CHARMS!$A$6:$CQ$89,1,)</f>
        <v/>
      </c>
      <c r="C56" s="371" t="str">
        <f>IF($A56="","",HLOOKUP($A56,CHARMS!$A$6:$CQ$89,48,))</f>
        <v/>
      </c>
      <c r="D56" s="375" t="str">
        <f>IF($A56="","",IF(HLOOKUP($A56,CHARMS!$A$6:$CQ$89,40,)=0,"Unkown",HLOOKUP($A56,CHARMS!$A$6:$CQ$89,40,)))</f>
        <v/>
      </c>
      <c r="E56" s="371" t="str">
        <f>IF($A56="","",IF(HLOOKUP($A56,CHARMS!$A$6:$CQ$89,40,)=0,"Unkown",CONCATENATE(HLOOKUP($A56,CHARMS!$A$6:$CQ$89,41,)," (",FIXED((HLOOKUP($A56,CHARMS!$A$6:$CQ$89,41,)/HLOOKUP($A56,CHARMS!$A$6:$CQ$89,40,))*100,1),")")))</f>
        <v/>
      </c>
      <c r="F56" s="371" t="str">
        <f>IF($A56="","",IF(HLOOKUP($A56,CHARMS!$A$6:$CQ$89,33,)=0,"Unkown",HLOOKUP($A56,CHARMS!$A$6:$CQ$89,33,)))</f>
        <v/>
      </c>
      <c r="G56" s="371" t="str">
        <f>IF($A56="","",HLOOKUP($A56,CHARMS!$A$6:$CQ$89,79,))</f>
        <v/>
      </c>
      <c r="H56" s="373" t="str">
        <f>IF($A56="","",HLOOKUP($A56,CHARMS!$A$6:$CQ$89,43,))</f>
        <v/>
      </c>
      <c r="I56" s="371" t="str">
        <f>IF($A56="","",HLOOKUP($A56,CHARMS!$A$6:$CQ$89,49,))</f>
        <v/>
      </c>
      <c r="J56" s="371" t="str">
        <f>IF($A56="","",HLOOKUP($A56,CHARMS!$A$6:$CQ$89,50,))</f>
        <v/>
      </c>
      <c r="K56" s="371" t="str">
        <f>CONCATENATE(IF($A56="","",IF(OR(HLOOKUP($A56,CHARMS!$A$6:$CQ$89,40,)=0,ISTEXT(HLOOKUP($A56,CHARMS!$A$6:$CQ$89,45,))),"n (%): Unkown",CONCATENATE("n (%): ",HLOOKUP($A56,CHARMS!$A$6:$CQ$89,45,)," (",FIXED((HLOOKUP($A56,CHARMS!$A$6:$CQ$89,45,)/HLOOKUP($A56,CHARMS!$A$6:$CQ$89,40,))*100,1),")"))),CHAR(10),IF($A56="","",CONCATENATE("Method: ",HLOOKUP($A56,CHARMS!$A$6:$CQ$89,46,))))</f>
        <v xml:space="preserve">
</v>
      </c>
      <c r="L56" s="373" t="str">
        <f>IF($A56="","",CONCATENATE("Int: ",HLOOKUP($A56,CHARMS!$A$6:$CQ$89,75,),CHAR(10),"Ext : ",HLOOKUP($A56,CHARMS!$A$6:$CQ$89,76,)))</f>
        <v/>
      </c>
      <c r="M56" s="373" t="str">
        <f>IF($A56="","",CONCATENATE("Cal: ",HLOOKUP($A56,CHARMS!$A$6:$CQ$89,53,),CHAR(10),"Disc : ",HLOOKUP($A56,CHARMS!$A$6:$CQ$89,59,),CHAR(10),"Ov: ",HLOOKUP($A56,CHARMS!$A$6:$CQ$89,66,)))</f>
        <v/>
      </c>
      <c r="N56" s="136" t="s">
        <v>31</v>
      </c>
      <c r="O56" s="137" t="str">
        <f>_xlfn.IFNA(IF(HLOOKUP($A56,PROBAST!$A$6:$AE$77,11,)="Low RoB","+",IF(HLOOKUP($A56,PROBAST!$A$6:$AE$77,11,)="High RoB","-",IF(HLOOKUP($A56,PROBAST!$A$6:$AE$77,11,)="Unclear","?",""))),"")</f>
        <v>+</v>
      </c>
      <c r="P56" s="137" t="str">
        <f>_xlfn.IFNA(IF(HLOOKUP($A56,PROBAST!$A$6:$AE$77,25,)="Low RoB","+",IF(HLOOKUP($A56,PROBAST!$A$6:$AE$77,25,)="High RoB","-",IF(HLOOKUP($A56,PROBAST!$A$6:$AE$77,25,)="Unclear","?",""))),"")</f>
        <v>+</v>
      </c>
      <c r="Q56" s="137" t="str">
        <f>_xlfn.IFNA(IF(HLOOKUP($A56,PROBAST!$A$6:$AE$77,39,)="Low RoB","+",IF(HLOOKUP($A56,PROBAST!$A$6:$AE$77,39,)="High RoB","-",IF(HLOOKUP($A56,PROBAST!$A$6:$AE$77,39,)="Unclear","?",""))),"")</f>
        <v>+</v>
      </c>
      <c r="R56" s="138" t="str">
        <f>_xlfn.IFNA(IF(HLOOKUP($A56,PROBAST!$A$6:$AE$77,58,)="Low RoB","+",IF(HLOOKUP($A56,PROBAST!$A$6:$AE$77,58,)="High RoB","-",IF(HLOOKUP($A56,PROBAST!$A$6:$AE$77,58,)="Unclear","?",""))),"")</f>
        <v>+</v>
      </c>
      <c r="S56" s="139"/>
      <c r="T56" s="139"/>
      <c r="U56" s="139"/>
      <c r="V56" s="139"/>
      <c r="W56" s="139"/>
    </row>
    <row r="57" spans="1:23" ht="22.5" customHeight="1" thickBot="1" x14ac:dyDescent="0.35">
      <c r="A57" s="377"/>
      <c r="B57" s="379"/>
      <c r="C57" s="372"/>
      <c r="D57" s="376"/>
      <c r="E57" s="372"/>
      <c r="F57" s="372"/>
      <c r="G57" s="372"/>
      <c r="H57" s="374"/>
      <c r="I57" s="372"/>
      <c r="J57" s="372"/>
      <c r="K57" s="381"/>
      <c r="L57" s="374"/>
      <c r="M57" s="374"/>
      <c r="N57" s="141" t="s">
        <v>30</v>
      </c>
      <c r="O57" s="142" t="str">
        <f>_xlfn.IFNA(IF(HLOOKUP($A56,PROBAST!$A$6:$AE$77,12,)="Low concern","+",IF(HLOOKUP($A56,PROBAST!$A$6:$AE$77,12,)="High concern","-",IF(HLOOKUP($A56,PROBAST!$A$6:$AE$77,12,)="Unclear","?",""))),"")</f>
        <v>+</v>
      </c>
      <c r="P57" s="142" t="str">
        <f>_xlfn.IFNA(IF(HLOOKUP($A56,PROBAST!$A$6:$AE$77,26,)="Low concern","+",IF(HLOOKUP($A56,PROBAST!$A$6:$AE$77,26,)="High concern","-",IF(HLOOKUP($A56,PROBAST!$A$6:$AE$77,26,)="Unclear","?",""))),"")</f>
        <v>?</v>
      </c>
      <c r="Q57" s="142" t="str">
        <f>_xlfn.IFNA(IF(HLOOKUP($A56,PROBAST!$A$6:$AE$77,40,)="Low concern","+",IF(HLOOKUP($A56,PROBAST!$A$6:$AE$77,40,)="High concern","-",IF(HLOOKUP($A56,PROBAST!$A$6:$AE$77,40,)="Unclear","?",""))),"")</f>
        <v>+</v>
      </c>
      <c r="R57" s="143"/>
    </row>
    <row r="58" spans="1:23" s="140" customFormat="1" ht="22.5" customHeight="1" x14ac:dyDescent="0.3">
      <c r="A58" s="377" t="str">
        <f>CHARMS!CF$6</f>
        <v/>
      </c>
      <c r="B58" s="378" t="str">
        <f>HLOOKUP($A58,CHARMS!$A$6:$CQ$89,1,)</f>
        <v/>
      </c>
      <c r="C58" s="371" t="str">
        <f>IF($A58="","",HLOOKUP($A58,CHARMS!$A$6:$CQ$89,48,))</f>
        <v/>
      </c>
      <c r="D58" s="375" t="str">
        <f>IF($A58="","",IF(HLOOKUP($A58,CHARMS!$A$6:$CQ$89,40,)=0,"Unkown",HLOOKUP($A58,CHARMS!$A$6:$CQ$89,40,)))</f>
        <v/>
      </c>
      <c r="E58" s="371" t="str">
        <f>IF($A58="","",IF(HLOOKUP($A58,CHARMS!$A$6:$CQ$89,40,)=0,"Unkown",CONCATENATE(HLOOKUP($A58,CHARMS!$A$6:$CQ$89,41,)," (",FIXED((HLOOKUP($A58,CHARMS!$A$6:$CQ$89,41,)/HLOOKUP($A58,CHARMS!$A$6:$CQ$89,40,))*100,1),")")))</f>
        <v/>
      </c>
      <c r="F58" s="371" t="str">
        <f>IF($A58="","",IF(HLOOKUP($A58,CHARMS!$A$6:$CQ$89,33,)=0,"Unkown",HLOOKUP($A58,CHARMS!$A$6:$CQ$89,33,)))</f>
        <v/>
      </c>
      <c r="G58" s="371" t="str">
        <f>IF($A58="","",HLOOKUP($A58,CHARMS!$A$6:$CQ$89,79,))</f>
        <v/>
      </c>
      <c r="H58" s="373" t="str">
        <f>IF($A58="","",HLOOKUP($A58,CHARMS!$A$6:$CQ$89,43,))</f>
        <v/>
      </c>
      <c r="I58" s="371" t="str">
        <f>IF($A58="","",HLOOKUP($A58,CHARMS!$A$6:$CQ$89,49,))</f>
        <v/>
      </c>
      <c r="J58" s="371" t="str">
        <f>IF($A58="","",HLOOKUP($A58,CHARMS!$A$6:$CQ$89,50,))</f>
        <v/>
      </c>
      <c r="K58" s="371" t="str">
        <f>CONCATENATE(IF($A58="","",IF(OR(HLOOKUP($A58,CHARMS!$A$6:$CQ$89,40,)=0,ISTEXT(HLOOKUP($A58,CHARMS!$A$6:$CQ$89,45,))),"n (%): Unkown",CONCATENATE("n (%): ",HLOOKUP($A58,CHARMS!$A$6:$CQ$89,45,)," (",FIXED((HLOOKUP($A58,CHARMS!$A$6:$CQ$89,45,)/HLOOKUP($A58,CHARMS!$A$6:$CQ$89,40,))*100,1),")"))),CHAR(10),IF($A58="","",CONCATENATE("Method: ",HLOOKUP($A58,CHARMS!$A$6:$CQ$89,46,))))</f>
        <v xml:space="preserve">
</v>
      </c>
      <c r="L58" s="373" t="str">
        <f>IF($A58="","",CONCATENATE("Int: ",HLOOKUP($A58,CHARMS!$A$6:$CQ$89,75,),CHAR(10),"Ext : ",HLOOKUP($A58,CHARMS!$A$6:$CQ$89,76,)))</f>
        <v/>
      </c>
      <c r="M58" s="373" t="str">
        <f>IF($A58="","",CONCATENATE("Cal: ",HLOOKUP($A58,CHARMS!$A$6:$CQ$89,53,),CHAR(10),"Disc : ",HLOOKUP($A58,CHARMS!$A$6:$CQ$89,59,),CHAR(10),"Ov: ",HLOOKUP($A58,CHARMS!$A$6:$CQ$89,66,)))</f>
        <v/>
      </c>
      <c r="N58" s="136" t="s">
        <v>31</v>
      </c>
      <c r="O58" s="137" t="str">
        <f>_xlfn.IFNA(IF(HLOOKUP($A58,PROBAST!$A$6:$AE$77,11,)="Low RoB","+",IF(HLOOKUP($A58,PROBAST!$A$6:$AE$77,11,)="High RoB","-",IF(HLOOKUP($A58,PROBAST!$A$6:$AE$77,11,)="Unclear","?",""))),"")</f>
        <v>+</v>
      </c>
      <c r="P58" s="137" t="str">
        <f>_xlfn.IFNA(IF(HLOOKUP($A58,PROBAST!$A$6:$AE$77,25,)="Low RoB","+",IF(HLOOKUP($A58,PROBAST!$A$6:$AE$77,25,)="High RoB","-",IF(HLOOKUP($A58,PROBAST!$A$6:$AE$77,25,)="Unclear","?",""))),"")</f>
        <v>+</v>
      </c>
      <c r="Q58" s="137" t="str">
        <f>_xlfn.IFNA(IF(HLOOKUP($A58,PROBAST!$A$6:$AE$77,39,)="Low RoB","+",IF(HLOOKUP($A58,PROBAST!$A$6:$AE$77,39,)="High RoB","-",IF(HLOOKUP($A58,PROBAST!$A$6:$AE$77,39,)="Unclear","?",""))),"")</f>
        <v>+</v>
      </c>
      <c r="R58" s="138" t="str">
        <f>_xlfn.IFNA(IF(HLOOKUP($A58,PROBAST!$A$6:$AE$77,58,)="Low RoB","+",IF(HLOOKUP($A58,PROBAST!$A$6:$AE$77,58,)="High RoB","-",IF(HLOOKUP($A58,PROBAST!$A$6:$AE$77,58,)="Unclear","?",""))),"")</f>
        <v>+</v>
      </c>
      <c r="S58" s="139"/>
      <c r="T58" s="139"/>
      <c r="U58" s="139"/>
      <c r="V58" s="139"/>
      <c r="W58" s="139"/>
    </row>
    <row r="59" spans="1:23" ht="22.5" customHeight="1" thickBot="1" x14ac:dyDescent="0.35">
      <c r="A59" s="377"/>
      <c r="B59" s="379"/>
      <c r="C59" s="372"/>
      <c r="D59" s="376"/>
      <c r="E59" s="372"/>
      <c r="F59" s="372"/>
      <c r="G59" s="372"/>
      <c r="H59" s="374"/>
      <c r="I59" s="372"/>
      <c r="J59" s="372"/>
      <c r="K59" s="381"/>
      <c r="L59" s="374"/>
      <c r="M59" s="374"/>
      <c r="N59" s="141" t="s">
        <v>30</v>
      </c>
      <c r="O59" s="142" t="str">
        <f>_xlfn.IFNA(IF(HLOOKUP($A58,PROBAST!$A$6:$AE$77,12,)="Low concern","+",IF(HLOOKUP($A58,PROBAST!$A$6:$AE$77,12,)="High concern","-",IF(HLOOKUP($A58,PROBAST!$A$6:$AE$77,12,)="Unclear","?",""))),"")</f>
        <v>+</v>
      </c>
      <c r="P59" s="142" t="str">
        <f>_xlfn.IFNA(IF(HLOOKUP($A58,PROBAST!$A$6:$AE$77,26,)="Low concern","+",IF(HLOOKUP($A58,PROBAST!$A$6:$AE$77,26,)="High concern","-",IF(HLOOKUP($A58,PROBAST!$A$6:$AE$77,26,)="Unclear","?",""))),"")</f>
        <v>?</v>
      </c>
      <c r="Q59" s="142" t="str">
        <f>_xlfn.IFNA(IF(HLOOKUP($A58,PROBAST!$A$6:$AE$77,40,)="Low concern","+",IF(HLOOKUP($A58,PROBAST!$A$6:$AE$77,40,)="High concern","-",IF(HLOOKUP($A58,PROBAST!$A$6:$AE$77,40,)="Unclear","?",""))),"")</f>
        <v>+</v>
      </c>
      <c r="R59" s="143"/>
    </row>
    <row r="60" spans="1:23" s="140" customFormat="1" ht="22.5" customHeight="1" x14ac:dyDescent="0.3">
      <c r="A60" s="377" t="str">
        <f>CHARMS!CI$6</f>
        <v/>
      </c>
      <c r="B60" s="378" t="str">
        <f>HLOOKUP($A60,CHARMS!$A$6:$CQ$89,1,)</f>
        <v/>
      </c>
      <c r="C60" s="371" t="str">
        <f>IF($A60="","",HLOOKUP($A60,CHARMS!$A$6:$CQ$89,48,))</f>
        <v/>
      </c>
      <c r="D60" s="375" t="str">
        <f>IF($A60="","",IF(HLOOKUP($A60,CHARMS!$A$6:$CQ$89,40,)=0,"Unkown",HLOOKUP($A60,CHARMS!$A$6:$CQ$89,40,)))</f>
        <v/>
      </c>
      <c r="E60" s="371" t="str">
        <f>IF($A60="","",IF(HLOOKUP($A60,CHARMS!$A$6:$CQ$89,40,)=0,"Unkown",CONCATENATE(HLOOKUP($A60,CHARMS!$A$6:$CQ$89,41,)," (",FIXED((HLOOKUP($A60,CHARMS!$A$6:$CQ$89,41,)/HLOOKUP($A60,CHARMS!$A$6:$CQ$89,40,))*100,1),")")))</f>
        <v/>
      </c>
      <c r="F60" s="371" t="str">
        <f>IF($A60="","",IF(HLOOKUP($A60,CHARMS!$A$6:$CQ$89,33,)=0,"Unkown",HLOOKUP($A60,CHARMS!$A$6:$CQ$89,33,)))</f>
        <v/>
      </c>
      <c r="G60" s="371" t="str">
        <f>IF($A60="","",HLOOKUP($A60,CHARMS!$A$6:$CQ$89,79,))</f>
        <v/>
      </c>
      <c r="H60" s="373" t="str">
        <f>IF($A60="","",HLOOKUP($A60,CHARMS!$A$6:$CQ$89,43,))</f>
        <v/>
      </c>
      <c r="I60" s="371" t="str">
        <f>IF($A60="","",HLOOKUP($A60,CHARMS!$A$6:$CQ$89,49,))</f>
        <v/>
      </c>
      <c r="J60" s="371" t="str">
        <f>IF($A60="","",HLOOKUP($A60,CHARMS!$A$6:$CQ$89,50,))</f>
        <v/>
      </c>
      <c r="K60" s="371" t="str">
        <f>CONCATENATE(IF($A60="","",IF(OR(HLOOKUP($A60,CHARMS!$A$6:$CQ$89,40,)=0,ISTEXT(HLOOKUP($A60,CHARMS!$A$6:$CQ$89,45,))),"n (%): Unkown",CONCATENATE("n (%): ",HLOOKUP($A60,CHARMS!$A$6:$CQ$89,45,)," (",FIXED((HLOOKUP($A60,CHARMS!$A$6:$CQ$89,45,)/HLOOKUP($A60,CHARMS!$A$6:$CQ$89,40,))*100,1),")"))),CHAR(10),IF($A60="","",CONCATENATE("Method: ",HLOOKUP($A60,CHARMS!$A$6:$CQ$89,46,))))</f>
        <v xml:space="preserve">
</v>
      </c>
      <c r="L60" s="373" t="str">
        <f>IF($A60="","",CONCATENATE("Int: ",HLOOKUP($A60,CHARMS!$A$6:$CQ$89,75,),CHAR(10),"Ext : ",HLOOKUP($A60,CHARMS!$A$6:$CQ$89,76,)))</f>
        <v/>
      </c>
      <c r="M60" s="373" t="str">
        <f>IF($A60="","",CONCATENATE("Cal: ",HLOOKUP($A60,CHARMS!$A$6:$CQ$89,53,),CHAR(10),"Disc : ",HLOOKUP($A60,CHARMS!$A$6:$CQ$89,59,),CHAR(10),"Ov: ",HLOOKUP($A60,CHARMS!$A$6:$CQ$89,66,)))</f>
        <v/>
      </c>
      <c r="N60" s="136" t="s">
        <v>31</v>
      </c>
      <c r="O60" s="137" t="str">
        <f>_xlfn.IFNA(IF(HLOOKUP($A60,PROBAST!$A$6:$AE$77,11,)="Low RoB","+",IF(HLOOKUP($A60,PROBAST!$A$6:$AE$77,11,)="High RoB","-",IF(HLOOKUP($A60,PROBAST!$A$6:$AE$77,11,)="Unclear","?",""))),"")</f>
        <v>+</v>
      </c>
      <c r="P60" s="137" t="str">
        <f>_xlfn.IFNA(IF(HLOOKUP($A60,PROBAST!$A$6:$AE$77,25,)="Low RoB","+",IF(HLOOKUP($A60,PROBAST!$A$6:$AE$77,25,)="High RoB","-",IF(HLOOKUP($A60,PROBAST!$A$6:$AE$77,25,)="Unclear","?",""))),"")</f>
        <v>+</v>
      </c>
      <c r="Q60" s="137" t="str">
        <f>_xlfn.IFNA(IF(HLOOKUP($A60,PROBAST!$A$6:$AE$77,39,)="Low RoB","+",IF(HLOOKUP($A60,PROBAST!$A$6:$AE$77,39,)="High RoB","-",IF(HLOOKUP($A60,PROBAST!$A$6:$AE$77,39,)="Unclear","?",""))),"")</f>
        <v>+</v>
      </c>
      <c r="R60" s="138" t="str">
        <f>_xlfn.IFNA(IF(HLOOKUP($A60,PROBAST!$A$6:$AE$77,58,)="Low RoB","+",IF(HLOOKUP($A60,PROBAST!$A$6:$AE$77,58,)="High RoB","-",IF(HLOOKUP($A60,PROBAST!$A$6:$AE$77,58,)="Unclear","?",""))),"")</f>
        <v>+</v>
      </c>
      <c r="S60" s="139"/>
      <c r="T60" s="139"/>
      <c r="U60" s="139"/>
      <c r="V60" s="139"/>
      <c r="W60" s="139"/>
    </row>
    <row r="61" spans="1:23" ht="22.5" customHeight="1" thickBot="1" x14ac:dyDescent="0.35">
      <c r="A61" s="377"/>
      <c r="B61" s="379"/>
      <c r="C61" s="372"/>
      <c r="D61" s="376"/>
      <c r="E61" s="372"/>
      <c r="F61" s="372"/>
      <c r="G61" s="372"/>
      <c r="H61" s="374"/>
      <c r="I61" s="372"/>
      <c r="J61" s="372"/>
      <c r="K61" s="381"/>
      <c r="L61" s="374"/>
      <c r="M61" s="374"/>
      <c r="N61" s="141" t="s">
        <v>30</v>
      </c>
      <c r="O61" s="142" t="str">
        <f>_xlfn.IFNA(IF(HLOOKUP($A60,PROBAST!$A$6:$AE$77,12,)="Low concern","+",IF(HLOOKUP($A60,PROBAST!$A$6:$AE$77,12,)="High concern","-",IF(HLOOKUP($A60,PROBAST!$A$6:$AE$77,12,)="Unclear","?",""))),"")</f>
        <v>+</v>
      </c>
      <c r="P61" s="142" t="str">
        <f>_xlfn.IFNA(IF(HLOOKUP($A60,PROBAST!$A$6:$AE$77,26,)="Low concern","+",IF(HLOOKUP($A60,PROBAST!$A$6:$AE$77,26,)="High concern","-",IF(HLOOKUP($A60,PROBAST!$A$6:$AE$77,26,)="Unclear","?",""))),"")</f>
        <v>?</v>
      </c>
      <c r="Q61" s="142" t="str">
        <f>_xlfn.IFNA(IF(HLOOKUP($A60,PROBAST!$A$6:$AE$77,40,)="Low concern","+",IF(HLOOKUP($A60,PROBAST!$A$6:$AE$77,40,)="High concern","-",IF(HLOOKUP($A60,PROBAST!$A$6:$AE$77,40,)="Unclear","?",""))),"")</f>
        <v>+</v>
      </c>
      <c r="R61" s="143"/>
    </row>
    <row r="62" spans="1:23" s="140" customFormat="1" ht="22.5" customHeight="1" x14ac:dyDescent="0.3">
      <c r="A62" s="377" t="str">
        <f>CHARMS!CL$6</f>
        <v/>
      </c>
      <c r="B62" s="378" t="str">
        <f>HLOOKUP($A62,CHARMS!$A$6:$CQ$89,1,)</f>
        <v/>
      </c>
      <c r="C62" s="371" t="str">
        <f>IF($A62="","",HLOOKUP($A62,CHARMS!$A$6:$CQ$89,48,))</f>
        <v/>
      </c>
      <c r="D62" s="375" t="str">
        <f>IF($A62="","",IF(HLOOKUP($A62,CHARMS!$A$6:$CQ$89,40,)=0,"Unkown",HLOOKUP($A62,CHARMS!$A$6:$CQ$89,40,)))</f>
        <v/>
      </c>
      <c r="E62" s="371" t="str">
        <f>IF($A62="","",IF(HLOOKUP($A62,CHARMS!$A$6:$CQ$89,40,)=0,"Unkown",CONCATENATE(HLOOKUP($A62,CHARMS!$A$6:$CQ$89,41,)," (",FIXED((HLOOKUP($A62,CHARMS!$A$6:$CQ$89,41,)/HLOOKUP($A62,CHARMS!$A$6:$CQ$89,40,))*100,1),")")))</f>
        <v/>
      </c>
      <c r="F62" s="371" t="str">
        <f>IF($A62="","",IF(HLOOKUP($A62,CHARMS!$A$6:$CQ$89,33,)=0,"Unkown",HLOOKUP($A62,CHARMS!$A$6:$CQ$89,33,)))</f>
        <v/>
      </c>
      <c r="G62" s="371" t="str">
        <f>IF($A62="","",HLOOKUP($A62,CHARMS!$A$6:$CQ$89,79,))</f>
        <v/>
      </c>
      <c r="H62" s="373" t="str">
        <f>IF($A62="","",HLOOKUP($A62,CHARMS!$A$6:$CQ$89,43,))</f>
        <v/>
      </c>
      <c r="I62" s="371" t="str">
        <f>IF($A62="","",HLOOKUP($A62,CHARMS!$A$6:$CQ$89,49,))</f>
        <v/>
      </c>
      <c r="J62" s="371" t="str">
        <f>IF($A62="","",HLOOKUP($A62,CHARMS!$A$6:$CQ$89,50,))</f>
        <v/>
      </c>
      <c r="K62" s="371" t="str">
        <f>CONCATENATE(IF($A62="","",IF(OR(HLOOKUP($A62,CHARMS!$A$6:$CQ$89,40,)=0,ISTEXT(HLOOKUP($A62,CHARMS!$A$6:$CQ$89,45,))),"n (%): Unkown",CONCATENATE("n (%): ",HLOOKUP($A62,CHARMS!$A$6:$CQ$89,45,)," (",FIXED((HLOOKUP($A62,CHARMS!$A$6:$CQ$89,45,)/HLOOKUP($A62,CHARMS!$A$6:$CQ$89,40,))*100,1),")"))),CHAR(10),IF($A62="","",CONCATENATE("Method: ",HLOOKUP($A62,CHARMS!$A$6:$CQ$89,46,))))</f>
        <v xml:space="preserve">
</v>
      </c>
      <c r="L62" s="373" t="str">
        <f>IF($A62="","",CONCATENATE("Int: ",HLOOKUP($A62,CHARMS!$A$6:$CQ$89,75,),CHAR(10),"Ext : ",HLOOKUP($A62,CHARMS!$A$6:$CQ$89,76,)))</f>
        <v/>
      </c>
      <c r="M62" s="373" t="str">
        <f>IF($A62="","",CONCATENATE("Cal: ",HLOOKUP($A62,CHARMS!$A$6:$CQ$89,53,),CHAR(10),"Disc : ",HLOOKUP($A62,CHARMS!$A$6:$CQ$89,59,),CHAR(10),"Ov: ",HLOOKUP($A62,CHARMS!$A$6:$CQ$89,66,)))</f>
        <v/>
      </c>
      <c r="N62" s="136" t="s">
        <v>31</v>
      </c>
      <c r="O62" s="137" t="str">
        <f>_xlfn.IFNA(IF(HLOOKUP($A62,PROBAST!$A$6:$AE$77,11,)="Low RoB","+",IF(HLOOKUP($A62,PROBAST!$A$6:$AE$77,11,)="High RoB","-",IF(HLOOKUP($A62,PROBAST!$A$6:$AE$77,11,)="Unclear","?",""))),"")</f>
        <v>+</v>
      </c>
      <c r="P62" s="137" t="str">
        <f>_xlfn.IFNA(IF(HLOOKUP($A62,PROBAST!$A$6:$AE$77,25,)="Low RoB","+",IF(HLOOKUP($A62,PROBAST!$A$6:$AE$77,25,)="High RoB","-",IF(HLOOKUP($A62,PROBAST!$A$6:$AE$77,25,)="Unclear","?",""))),"")</f>
        <v>+</v>
      </c>
      <c r="Q62" s="137" t="str">
        <f>_xlfn.IFNA(IF(HLOOKUP($A62,PROBAST!$A$6:$AE$77,39,)="Low RoB","+",IF(HLOOKUP($A62,PROBAST!$A$6:$AE$77,39,)="High RoB","-",IF(HLOOKUP($A62,PROBAST!$A$6:$AE$77,39,)="Unclear","?",""))),"")</f>
        <v>+</v>
      </c>
      <c r="R62" s="138" t="str">
        <f>_xlfn.IFNA(IF(HLOOKUP($A62,PROBAST!$A$6:$AE$77,58,)="Low RoB","+",IF(HLOOKUP($A62,PROBAST!$A$6:$AE$77,58,)="High RoB","-",IF(HLOOKUP($A62,PROBAST!$A$6:$AE$77,58,)="Unclear","?",""))),"")</f>
        <v>+</v>
      </c>
      <c r="S62" s="139"/>
      <c r="T62" s="139"/>
      <c r="U62" s="139"/>
      <c r="V62" s="139"/>
      <c r="W62" s="139"/>
    </row>
    <row r="63" spans="1:23" ht="22.5" customHeight="1" thickBot="1" x14ac:dyDescent="0.35">
      <c r="A63" s="377"/>
      <c r="B63" s="379"/>
      <c r="C63" s="372"/>
      <c r="D63" s="376"/>
      <c r="E63" s="372"/>
      <c r="F63" s="372"/>
      <c r="G63" s="372"/>
      <c r="H63" s="374"/>
      <c r="I63" s="372"/>
      <c r="J63" s="372"/>
      <c r="K63" s="381"/>
      <c r="L63" s="374"/>
      <c r="M63" s="374"/>
      <c r="N63" s="141" t="s">
        <v>30</v>
      </c>
      <c r="O63" s="142" t="str">
        <f>_xlfn.IFNA(IF(HLOOKUP($A62,PROBAST!$A$6:$AE$77,12,)="Low concern","+",IF(HLOOKUP($A62,PROBAST!$A$6:$AE$77,12,)="High concern","-",IF(HLOOKUP($A62,PROBAST!$A$6:$AE$77,12,)="Unclear","?",""))),"")</f>
        <v>+</v>
      </c>
      <c r="P63" s="142" t="str">
        <f>_xlfn.IFNA(IF(HLOOKUP($A62,PROBAST!$A$6:$AE$77,26,)="Low concern","+",IF(HLOOKUP($A62,PROBAST!$A$6:$AE$77,26,)="High concern","-",IF(HLOOKUP($A62,PROBAST!$A$6:$AE$77,26,)="Unclear","?",""))),"")</f>
        <v>?</v>
      </c>
      <c r="Q63" s="142" t="str">
        <f>_xlfn.IFNA(IF(HLOOKUP($A62,PROBAST!$A$6:$AE$77,40,)="Low concern","+",IF(HLOOKUP($A62,PROBAST!$A$6:$AE$77,40,)="High concern","-",IF(HLOOKUP($A62,PROBAST!$A$6:$AE$77,40,)="Unclear","?",""))),"")</f>
        <v>+</v>
      </c>
      <c r="R63" s="143"/>
    </row>
    <row r="64" spans="1:23" s="140" customFormat="1" ht="22.5" customHeight="1" x14ac:dyDescent="0.3">
      <c r="A64" s="377" t="str">
        <f>CHARMS!CO$6</f>
        <v/>
      </c>
      <c r="B64" s="378" t="str">
        <f>HLOOKUP($A64,CHARMS!$A$6:$CQ$89,1,)</f>
        <v/>
      </c>
      <c r="C64" s="371" t="str">
        <f>IF($A64="","",HLOOKUP($A64,CHARMS!$A$6:$CQ$89,48,))</f>
        <v/>
      </c>
      <c r="D64" s="375" t="str">
        <f>IF($A64="","",IF(HLOOKUP($A64,CHARMS!$A$6:$CQ$89,40,)=0,"Unkown",HLOOKUP($A64,CHARMS!$A$6:$CQ$89,40,)))</f>
        <v/>
      </c>
      <c r="E64" s="371" t="str">
        <f>IF($A64="","",IF(HLOOKUP($A64,CHARMS!$A$6:$CQ$89,40,)=0,"Unkown",CONCATENATE(HLOOKUP($A64,CHARMS!$A$6:$CQ$89,41,)," (",FIXED((HLOOKUP($A64,CHARMS!$A$6:$CQ$89,41,)/HLOOKUP($A64,CHARMS!$A$6:$CQ$89,40,))*100,1),")")))</f>
        <v/>
      </c>
      <c r="F64" s="371" t="str">
        <f>IF($A64="","",IF(HLOOKUP($A64,CHARMS!$A$6:$CQ$89,33,)=0,"Unkown",HLOOKUP($A64,CHARMS!$A$6:$CQ$89,33,)))</f>
        <v/>
      </c>
      <c r="G64" s="371" t="str">
        <f>IF($A64="","",HLOOKUP($A64,CHARMS!$A$6:$CQ$89,79,))</f>
        <v/>
      </c>
      <c r="H64" s="373" t="str">
        <f>IF($A64="","",HLOOKUP($A64,CHARMS!$A$6:$CQ$89,43,))</f>
        <v/>
      </c>
      <c r="I64" s="371" t="str">
        <f>IF($A64="","",HLOOKUP($A64,CHARMS!$A$6:$CQ$89,49,))</f>
        <v/>
      </c>
      <c r="J64" s="371" t="str">
        <f>IF($A64="","",HLOOKUP($A64,CHARMS!$A$6:$CQ$89,50,))</f>
        <v/>
      </c>
      <c r="K64" s="371" t="str">
        <f>CONCATENATE(IF($A64="","",IF(OR(HLOOKUP($A64,CHARMS!$A$6:$CQ$89,40,)=0,ISTEXT(HLOOKUP($A64,CHARMS!$A$6:$CQ$89,45,))),"n (%): Unkown",CONCATENATE("n (%): ",HLOOKUP($A64,CHARMS!$A$6:$CQ$89,45,)," (",FIXED((HLOOKUP($A64,CHARMS!$A$6:$CQ$89,45,)/HLOOKUP($A64,CHARMS!$A$6:$CQ$89,40,))*100,1),")"))),CHAR(10),IF($A64="","",CONCATENATE("Method: ",HLOOKUP($A64,CHARMS!$A$6:$CQ$89,46,))))</f>
        <v xml:space="preserve">
</v>
      </c>
      <c r="L64" s="373" t="str">
        <f>IF($A64="","",CONCATENATE("Int: ",HLOOKUP($A64,CHARMS!$A$6:$CQ$89,75,),CHAR(10),"Ext : ",HLOOKUP($A64,CHARMS!$A$6:$CQ$89,76,)))</f>
        <v/>
      </c>
      <c r="M64" s="373" t="str">
        <f>IF($A64="","",CONCATENATE("Cal: ",HLOOKUP($A64,CHARMS!$A$6:$CQ$89,53,),CHAR(10),"Disc : ",HLOOKUP($A64,CHARMS!$A$6:$CQ$89,59,),CHAR(10),"Ov: ",HLOOKUP($A64,CHARMS!$A$6:$CQ$89,66,)))</f>
        <v/>
      </c>
      <c r="N64" s="136" t="s">
        <v>31</v>
      </c>
      <c r="O64" s="137" t="str">
        <f>_xlfn.IFNA(IF(HLOOKUP($A64,PROBAST!$A$6:$AE$77,11,)="Low RoB","+",IF(HLOOKUP($A64,PROBAST!$A$6:$AE$77,11,)="High RoB","-",IF(HLOOKUP($A64,PROBAST!$A$6:$AE$77,11,)="Unclear","?",""))),"")</f>
        <v>+</v>
      </c>
      <c r="P64" s="137" t="str">
        <f>_xlfn.IFNA(IF(HLOOKUP($A64,PROBAST!$A$6:$AE$77,25,)="Low RoB","+",IF(HLOOKUP($A64,PROBAST!$A$6:$AE$77,25,)="High RoB","-",IF(HLOOKUP($A64,PROBAST!$A$6:$AE$77,25,)="Unclear","?",""))),"")</f>
        <v>+</v>
      </c>
      <c r="Q64" s="137" t="str">
        <f>_xlfn.IFNA(IF(HLOOKUP($A64,PROBAST!$A$6:$AE$77,39,)="Low RoB","+",IF(HLOOKUP($A64,PROBAST!$A$6:$AE$77,39,)="High RoB","-",IF(HLOOKUP($A64,PROBAST!$A$6:$AE$77,39,)="Unclear","?",""))),"")</f>
        <v>+</v>
      </c>
      <c r="R64" s="138" t="str">
        <f>_xlfn.IFNA(IF(HLOOKUP($A64,PROBAST!$A$6:$AE$77,58,)="Low RoB","+",IF(HLOOKUP($A64,PROBAST!$A$6:$AE$77,58,)="High RoB","-",IF(HLOOKUP($A64,PROBAST!$A$6:$AE$77,58,)="Unclear","?",""))),"")</f>
        <v>+</v>
      </c>
      <c r="S64" s="139"/>
      <c r="T64" s="139"/>
      <c r="U64" s="139"/>
      <c r="V64" s="139"/>
      <c r="W64" s="139"/>
    </row>
    <row r="65" spans="1:23" ht="22.5" customHeight="1" thickBot="1" x14ac:dyDescent="0.35">
      <c r="A65" s="382"/>
      <c r="B65" s="383"/>
      <c r="C65" s="381"/>
      <c r="D65" s="384"/>
      <c r="E65" s="381"/>
      <c r="F65" s="381"/>
      <c r="G65" s="381"/>
      <c r="H65" s="380"/>
      <c r="I65" s="381"/>
      <c r="J65" s="381"/>
      <c r="K65" s="372"/>
      <c r="L65" s="380"/>
      <c r="M65" s="380"/>
      <c r="N65" s="141" t="s">
        <v>30</v>
      </c>
      <c r="O65" s="142" t="str">
        <f>_xlfn.IFNA(IF(HLOOKUP($A64,PROBAST!$A$6:$AE$77,12,)="Low concern","+",IF(HLOOKUP($A64,PROBAST!$A$6:$AE$77,12,)="High concern","-",IF(HLOOKUP($A64,PROBAST!$A$6:$AE$77,12,)="Unclear","?",""))),"")</f>
        <v>+</v>
      </c>
      <c r="P65" s="142" t="str">
        <f>_xlfn.IFNA(IF(HLOOKUP($A64,PROBAST!$A$6:$AE$77,26,)="Low concern","+",IF(HLOOKUP($A64,PROBAST!$A$6:$AE$77,26,)="High concern","-",IF(HLOOKUP($A64,PROBAST!$A$6:$AE$77,26,)="Unclear","?",""))),"")</f>
        <v>?</v>
      </c>
      <c r="Q65" s="142" t="str">
        <f>_xlfn.IFNA(IF(HLOOKUP($A64,PROBAST!$A$6:$AE$77,40,)="Low concern","+",IF(HLOOKUP($A64,PROBAST!$A$6:$AE$77,40,)="High concern","-",IF(HLOOKUP($A64,PROBAST!$A$6:$AE$77,40,)="Unclear","?",""))),"")</f>
        <v>+</v>
      </c>
      <c r="R65" s="143"/>
    </row>
    <row r="66" spans="1:23" s="145" customFormat="1" x14ac:dyDescent="0.3">
      <c r="A66" s="144"/>
      <c r="S66" s="122"/>
      <c r="T66" s="122"/>
      <c r="U66" s="122"/>
      <c r="V66" s="122"/>
      <c r="W66" s="122"/>
    </row>
    <row r="67" spans="1:23" s="122" customFormat="1" x14ac:dyDescent="0.3"/>
    <row r="68" spans="1:23" s="122" customFormat="1" x14ac:dyDescent="0.3"/>
    <row r="69" spans="1:23" s="122" customFormat="1" x14ac:dyDescent="0.3"/>
    <row r="70" spans="1:23" s="122" customFormat="1" x14ac:dyDescent="0.3"/>
    <row r="71" spans="1:23" s="122" customFormat="1" x14ac:dyDescent="0.3"/>
    <row r="72" spans="1:23" s="122" customFormat="1" x14ac:dyDescent="0.3"/>
    <row r="73" spans="1:23" s="122" customFormat="1" x14ac:dyDescent="0.3"/>
    <row r="74" spans="1:23" s="122" customFormat="1" x14ac:dyDescent="0.3"/>
    <row r="75" spans="1:23" s="122" customFormat="1" x14ac:dyDescent="0.3"/>
    <row r="76" spans="1:23" s="122" customFormat="1" x14ac:dyDescent="0.3"/>
    <row r="77" spans="1:23" s="122" customFormat="1" x14ac:dyDescent="0.3"/>
    <row r="78" spans="1:23" s="122" customFormat="1" x14ac:dyDescent="0.3"/>
    <row r="79" spans="1:23" s="122" customFormat="1" x14ac:dyDescent="0.3"/>
    <row r="80" spans="1:23" s="122" customFormat="1" x14ac:dyDescent="0.3"/>
  </sheetData>
  <mergeCells count="402">
    <mergeCell ref="K60:K61"/>
    <mergeCell ref="K62:K63"/>
    <mergeCell ref="K64:K65"/>
    <mergeCell ref="K42:K43"/>
    <mergeCell ref="K44:K45"/>
    <mergeCell ref="K46:K47"/>
    <mergeCell ref="K48:K49"/>
    <mergeCell ref="K50:K51"/>
    <mergeCell ref="K52:K53"/>
    <mergeCell ref="K54:K55"/>
    <mergeCell ref="K56:K57"/>
    <mergeCell ref="K58:K59"/>
    <mergeCell ref="K24:K25"/>
    <mergeCell ref="K26:K27"/>
    <mergeCell ref="K28:K29"/>
    <mergeCell ref="K30:K31"/>
    <mergeCell ref="K32:K33"/>
    <mergeCell ref="K34:K35"/>
    <mergeCell ref="K36:K37"/>
    <mergeCell ref="K38:K39"/>
    <mergeCell ref="K40:K41"/>
    <mergeCell ref="K6:K7"/>
    <mergeCell ref="K8:K9"/>
    <mergeCell ref="K10:K11"/>
    <mergeCell ref="K12:K13"/>
    <mergeCell ref="K14:K15"/>
    <mergeCell ref="K16:K17"/>
    <mergeCell ref="K18:K19"/>
    <mergeCell ref="K20:K21"/>
    <mergeCell ref="K22:K23"/>
    <mergeCell ref="L64:L65"/>
    <mergeCell ref="M64:M65"/>
    <mergeCell ref="F64:F65"/>
    <mergeCell ref="G64:G65"/>
    <mergeCell ref="H64:H65"/>
    <mergeCell ref="I64:I65"/>
    <mergeCell ref="J64:J65"/>
    <mergeCell ref="A64:A65"/>
    <mergeCell ref="B64:B65"/>
    <mergeCell ref="C64:C65"/>
    <mergeCell ref="D64:D65"/>
    <mergeCell ref="E64:E65"/>
    <mergeCell ref="L60:L61"/>
    <mergeCell ref="M60:M61"/>
    <mergeCell ref="A62:A63"/>
    <mergeCell ref="B62:B63"/>
    <mergeCell ref="C62:C63"/>
    <mergeCell ref="D62:D63"/>
    <mergeCell ref="E62:E63"/>
    <mergeCell ref="F62:F63"/>
    <mergeCell ref="G62:G63"/>
    <mergeCell ref="H62:H63"/>
    <mergeCell ref="I62:I63"/>
    <mergeCell ref="J62:J63"/>
    <mergeCell ref="L62:L63"/>
    <mergeCell ref="M62:M63"/>
    <mergeCell ref="F60:F61"/>
    <mergeCell ref="G60:G61"/>
    <mergeCell ref="H60:H61"/>
    <mergeCell ref="I60:I61"/>
    <mergeCell ref="J60:J61"/>
    <mergeCell ref="A60:A61"/>
    <mergeCell ref="B60:B61"/>
    <mergeCell ref="C60:C61"/>
    <mergeCell ref="D60:D61"/>
    <mergeCell ref="E60:E61"/>
    <mergeCell ref="L56:L57"/>
    <mergeCell ref="M56:M57"/>
    <mergeCell ref="A58:A59"/>
    <mergeCell ref="B58:B59"/>
    <mergeCell ref="C58:C59"/>
    <mergeCell ref="D58:D59"/>
    <mergeCell ref="E58:E59"/>
    <mergeCell ref="F58:F59"/>
    <mergeCell ref="G58:G59"/>
    <mergeCell ref="H58:H59"/>
    <mergeCell ref="I58:I59"/>
    <mergeCell ref="J58:J59"/>
    <mergeCell ref="L58:L59"/>
    <mergeCell ref="M58:M59"/>
    <mergeCell ref="F56:F57"/>
    <mergeCell ref="G56:G57"/>
    <mergeCell ref="H56:H57"/>
    <mergeCell ref="I56:I57"/>
    <mergeCell ref="J56:J57"/>
    <mergeCell ref="A56:A57"/>
    <mergeCell ref="B56:B57"/>
    <mergeCell ref="C56:C57"/>
    <mergeCell ref="D56:D57"/>
    <mergeCell ref="E56:E57"/>
    <mergeCell ref="L52:L53"/>
    <mergeCell ref="M52:M53"/>
    <mergeCell ref="A54:A55"/>
    <mergeCell ref="B54:B55"/>
    <mergeCell ref="C54:C55"/>
    <mergeCell ref="D54:D55"/>
    <mergeCell ref="E54:E55"/>
    <mergeCell ref="F54:F55"/>
    <mergeCell ref="G54:G55"/>
    <mergeCell ref="H54:H55"/>
    <mergeCell ref="I54:I55"/>
    <mergeCell ref="J54:J55"/>
    <mergeCell ref="L54:L55"/>
    <mergeCell ref="M54:M55"/>
    <mergeCell ref="F52:F53"/>
    <mergeCell ref="G52:G53"/>
    <mergeCell ref="H52:H53"/>
    <mergeCell ref="I52:I53"/>
    <mergeCell ref="J52:J53"/>
    <mergeCell ref="A52:A53"/>
    <mergeCell ref="B52:B53"/>
    <mergeCell ref="C52:C53"/>
    <mergeCell ref="D52:D53"/>
    <mergeCell ref="E52:E53"/>
    <mergeCell ref="L48:L49"/>
    <mergeCell ref="M48:M49"/>
    <mergeCell ref="A50:A51"/>
    <mergeCell ref="B50:B51"/>
    <mergeCell ref="C50:C51"/>
    <mergeCell ref="D50:D51"/>
    <mergeCell ref="E50:E51"/>
    <mergeCell ref="F50:F51"/>
    <mergeCell ref="G50:G51"/>
    <mergeCell ref="H50:H51"/>
    <mergeCell ref="I50:I51"/>
    <mergeCell ref="J50:J51"/>
    <mergeCell ref="L50:L51"/>
    <mergeCell ref="M50:M51"/>
    <mergeCell ref="F48:F49"/>
    <mergeCell ref="G48:G49"/>
    <mergeCell ref="H48:H49"/>
    <mergeCell ref="I48:I49"/>
    <mergeCell ref="J48:J49"/>
    <mergeCell ref="A48:A49"/>
    <mergeCell ref="B48:B49"/>
    <mergeCell ref="C48:C49"/>
    <mergeCell ref="D48:D49"/>
    <mergeCell ref="E48:E49"/>
    <mergeCell ref="L44:L45"/>
    <mergeCell ref="E44:E45"/>
    <mergeCell ref="M44:M45"/>
    <mergeCell ref="A46:A47"/>
    <mergeCell ref="B46:B47"/>
    <mergeCell ref="C46:C47"/>
    <mergeCell ref="D46:D47"/>
    <mergeCell ref="E46:E47"/>
    <mergeCell ref="F46:F47"/>
    <mergeCell ref="G46:G47"/>
    <mergeCell ref="H46:H47"/>
    <mergeCell ref="I46:I47"/>
    <mergeCell ref="J46:J47"/>
    <mergeCell ref="L46:L47"/>
    <mergeCell ref="M46:M47"/>
    <mergeCell ref="F44:F45"/>
    <mergeCell ref="G44:G45"/>
    <mergeCell ref="H44:H45"/>
    <mergeCell ref="I44:I45"/>
    <mergeCell ref="J44:J45"/>
    <mergeCell ref="A44:A45"/>
    <mergeCell ref="B44:B45"/>
    <mergeCell ref="C44:C45"/>
    <mergeCell ref="D44:D45"/>
    <mergeCell ref="L40:L41"/>
    <mergeCell ref="M40:M41"/>
    <mergeCell ref="A42:A43"/>
    <mergeCell ref="B42:B43"/>
    <mergeCell ref="C42:C43"/>
    <mergeCell ref="D42:D43"/>
    <mergeCell ref="E42:E43"/>
    <mergeCell ref="F42:F43"/>
    <mergeCell ref="G42:G43"/>
    <mergeCell ref="H42:H43"/>
    <mergeCell ref="I42:I43"/>
    <mergeCell ref="J42:J43"/>
    <mergeCell ref="L42:L43"/>
    <mergeCell ref="M42:M43"/>
    <mergeCell ref="F40:F41"/>
    <mergeCell ref="G40:G41"/>
    <mergeCell ref="H40:H41"/>
    <mergeCell ref="I40:I41"/>
    <mergeCell ref="J40:J41"/>
    <mergeCell ref="A40:A41"/>
    <mergeCell ref="B40:B41"/>
    <mergeCell ref="C40:C41"/>
    <mergeCell ref="D40:D41"/>
    <mergeCell ref="E40:E41"/>
    <mergeCell ref="L36:L37"/>
    <mergeCell ref="M36:M37"/>
    <mergeCell ref="A38:A39"/>
    <mergeCell ref="B38:B39"/>
    <mergeCell ref="C38:C39"/>
    <mergeCell ref="D38:D39"/>
    <mergeCell ref="E38:E39"/>
    <mergeCell ref="F38:F39"/>
    <mergeCell ref="G38:G39"/>
    <mergeCell ref="H38:H39"/>
    <mergeCell ref="I38:I39"/>
    <mergeCell ref="J38:J39"/>
    <mergeCell ref="L38:L39"/>
    <mergeCell ref="M38:M39"/>
    <mergeCell ref="F36:F37"/>
    <mergeCell ref="G36:G37"/>
    <mergeCell ref="H36:H37"/>
    <mergeCell ref="I36:I37"/>
    <mergeCell ref="J36:J37"/>
    <mergeCell ref="A36:A37"/>
    <mergeCell ref="B36:B37"/>
    <mergeCell ref="C36:C37"/>
    <mergeCell ref="D36:D37"/>
    <mergeCell ref="E36:E37"/>
    <mergeCell ref="L32:L33"/>
    <mergeCell ref="M32:M33"/>
    <mergeCell ref="A34:A35"/>
    <mergeCell ref="B34:B35"/>
    <mergeCell ref="C34:C35"/>
    <mergeCell ref="D34:D35"/>
    <mergeCell ref="E34:E35"/>
    <mergeCell ref="F34:F35"/>
    <mergeCell ref="G34:G35"/>
    <mergeCell ref="H34:H35"/>
    <mergeCell ref="I34:I35"/>
    <mergeCell ref="J34:J35"/>
    <mergeCell ref="L34:L35"/>
    <mergeCell ref="M34:M35"/>
    <mergeCell ref="F32:F33"/>
    <mergeCell ref="G32:G33"/>
    <mergeCell ref="H32:H33"/>
    <mergeCell ref="I32:I33"/>
    <mergeCell ref="J32:J33"/>
    <mergeCell ref="A32:A33"/>
    <mergeCell ref="B32:B33"/>
    <mergeCell ref="C32:C33"/>
    <mergeCell ref="D32:D33"/>
    <mergeCell ref="E32:E33"/>
    <mergeCell ref="L28:L29"/>
    <mergeCell ref="M28:M29"/>
    <mergeCell ref="A30:A31"/>
    <mergeCell ref="B30:B31"/>
    <mergeCell ref="C30:C31"/>
    <mergeCell ref="D30:D31"/>
    <mergeCell ref="E30:E31"/>
    <mergeCell ref="F30:F31"/>
    <mergeCell ref="G30:G31"/>
    <mergeCell ref="H30:H31"/>
    <mergeCell ref="I30:I31"/>
    <mergeCell ref="J30:J31"/>
    <mergeCell ref="L30:L31"/>
    <mergeCell ref="M30:M31"/>
    <mergeCell ref="F28:F29"/>
    <mergeCell ref="G28:G29"/>
    <mergeCell ref="H28:H29"/>
    <mergeCell ref="I28:I29"/>
    <mergeCell ref="J28:J29"/>
    <mergeCell ref="A28:A29"/>
    <mergeCell ref="B28:B29"/>
    <mergeCell ref="C28:C29"/>
    <mergeCell ref="D28:D29"/>
    <mergeCell ref="E28:E29"/>
    <mergeCell ref="L24:L25"/>
    <mergeCell ref="E24:E25"/>
    <mergeCell ref="M24:M25"/>
    <mergeCell ref="A26:A27"/>
    <mergeCell ref="B26:B27"/>
    <mergeCell ref="C26:C27"/>
    <mergeCell ref="D26:D27"/>
    <mergeCell ref="E26:E27"/>
    <mergeCell ref="F26:F27"/>
    <mergeCell ref="G26:G27"/>
    <mergeCell ref="H26:H27"/>
    <mergeCell ref="I26:I27"/>
    <mergeCell ref="J26:J27"/>
    <mergeCell ref="L26:L27"/>
    <mergeCell ref="M26:M27"/>
    <mergeCell ref="F24:F25"/>
    <mergeCell ref="G24:G25"/>
    <mergeCell ref="H24:H25"/>
    <mergeCell ref="I24:I25"/>
    <mergeCell ref="J24:J25"/>
    <mergeCell ref="A24:A25"/>
    <mergeCell ref="B24:B25"/>
    <mergeCell ref="C24:C25"/>
    <mergeCell ref="D24:D25"/>
    <mergeCell ref="L20:L21"/>
    <mergeCell ref="M20:M21"/>
    <mergeCell ref="A22:A23"/>
    <mergeCell ref="B22:B23"/>
    <mergeCell ref="C22:C23"/>
    <mergeCell ref="D22:D23"/>
    <mergeCell ref="E22:E23"/>
    <mergeCell ref="F22:F23"/>
    <mergeCell ref="G22:G23"/>
    <mergeCell ref="H22:H23"/>
    <mergeCell ref="I22:I23"/>
    <mergeCell ref="J22:J23"/>
    <mergeCell ref="L22:L23"/>
    <mergeCell ref="M22:M23"/>
    <mergeCell ref="F20:F21"/>
    <mergeCell ref="G20:G21"/>
    <mergeCell ref="H20:H21"/>
    <mergeCell ref="I20:I21"/>
    <mergeCell ref="J20:J21"/>
    <mergeCell ref="A20:A21"/>
    <mergeCell ref="B20:B21"/>
    <mergeCell ref="C20:C21"/>
    <mergeCell ref="D20:D21"/>
    <mergeCell ref="E20:E21"/>
    <mergeCell ref="M16:M17"/>
    <mergeCell ref="A18:A19"/>
    <mergeCell ref="B18:B19"/>
    <mergeCell ref="C18:C19"/>
    <mergeCell ref="D18:D19"/>
    <mergeCell ref="E18:E19"/>
    <mergeCell ref="F18:F19"/>
    <mergeCell ref="G18:G19"/>
    <mergeCell ref="H18:H19"/>
    <mergeCell ref="I18:I19"/>
    <mergeCell ref="J18:J19"/>
    <mergeCell ref="L18:L19"/>
    <mergeCell ref="M18:M19"/>
    <mergeCell ref="F16:F17"/>
    <mergeCell ref="G16:G17"/>
    <mergeCell ref="H16:H17"/>
    <mergeCell ref="I16:I17"/>
    <mergeCell ref="J16:J17"/>
    <mergeCell ref="A16:A17"/>
    <mergeCell ref="B16:B17"/>
    <mergeCell ref="C16:C17"/>
    <mergeCell ref="D16:D17"/>
    <mergeCell ref="E16:E17"/>
    <mergeCell ref="D14:D15"/>
    <mergeCell ref="E14:E15"/>
    <mergeCell ref="F14:F15"/>
    <mergeCell ref="G14:G15"/>
    <mergeCell ref="H14:H15"/>
    <mergeCell ref="I14:I15"/>
    <mergeCell ref="L16:L17"/>
    <mergeCell ref="J14:J15"/>
    <mergeCell ref="L14:L15"/>
    <mergeCell ref="M14:M15"/>
    <mergeCell ref="J10:J11"/>
    <mergeCell ref="L10:L11"/>
    <mergeCell ref="M10:M11"/>
    <mergeCell ref="A12:A13"/>
    <mergeCell ref="B12:B13"/>
    <mergeCell ref="C12:C13"/>
    <mergeCell ref="D12:D13"/>
    <mergeCell ref="E12:E13"/>
    <mergeCell ref="F12:F13"/>
    <mergeCell ref="G12:G13"/>
    <mergeCell ref="H12:H13"/>
    <mergeCell ref="I12:I13"/>
    <mergeCell ref="J12:J13"/>
    <mergeCell ref="L12:L13"/>
    <mergeCell ref="M12:M13"/>
    <mergeCell ref="E10:E11"/>
    <mergeCell ref="F10:F11"/>
    <mergeCell ref="G10:G11"/>
    <mergeCell ref="H10:H11"/>
    <mergeCell ref="I10:I11"/>
    <mergeCell ref="A14:A15"/>
    <mergeCell ref="B14:B15"/>
    <mergeCell ref="C14:C15"/>
    <mergeCell ref="I4:I5"/>
    <mergeCell ref="H4:H5"/>
    <mergeCell ref="A8:A9"/>
    <mergeCell ref="A10:A11"/>
    <mergeCell ref="B10:B11"/>
    <mergeCell ref="C10:C11"/>
    <mergeCell ref="D10:D11"/>
    <mergeCell ref="B8:B9"/>
    <mergeCell ref="C8:C9"/>
    <mergeCell ref="D8:D9"/>
    <mergeCell ref="E8:E9"/>
    <mergeCell ref="A6:A7"/>
    <mergeCell ref="C6:C7"/>
    <mergeCell ref="B6:B7"/>
    <mergeCell ref="F4:G4"/>
    <mergeCell ref="D4:D5"/>
    <mergeCell ref="K4:K5"/>
    <mergeCell ref="B3:R3"/>
    <mergeCell ref="L4:L5"/>
    <mergeCell ref="M4:M5"/>
    <mergeCell ref="O4:R4"/>
    <mergeCell ref="F8:F9"/>
    <mergeCell ref="G8:G9"/>
    <mergeCell ref="H8:H9"/>
    <mergeCell ref="I8:I9"/>
    <mergeCell ref="J8:J9"/>
    <mergeCell ref="L8:L9"/>
    <mergeCell ref="M8:M9"/>
    <mergeCell ref="J4:J5"/>
    <mergeCell ref="M6:M7"/>
    <mergeCell ref="L6:L7"/>
    <mergeCell ref="J6:J7"/>
    <mergeCell ref="I6:I7"/>
    <mergeCell ref="H6:H7"/>
    <mergeCell ref="G6:G7"/>
    <mergeCell ref="F6:F7"/>
    <mergeCell ref="E6:E7"/>
    <mergeCell ref="D6:D7"/>
    <mergeCell ref="B4:B5"/>
    <mergeCell ref="C4:C5"/>
  </mergeCells>
  <conditionalFormatting sqref="B6:J65 L6:R65">
    <cfRule type="expression" dxfId="65" priority="32">
      <formula>B6=0</formula>
    </cfRule>
  </conditionalFormatting>
  <conditionalFormatting sqref="K6 K8 K10 K12 K14 K16 K18 K20 K22 K24 K26 K28 K30 K32 K34 K36 K38 K40 K42 K44 K46 K48 K50 K52 K54 K56 K58 K60 K62 K64">
    <cfRule type="expression" dxfId="40" priority="1">
      <formula>K6=0</formula>
    </cfRule>
  </conditionalFormatting>
  <conditionalFormatting sqref="O6:R65">
    <cfRule type="cellIs" dxfId="9" priority="63" operator="equal">
      <formula>"?"</formula>
    </cfRule>
    <cfRule type="cellIs" dxfId="8" priority="64" operator="equal">
      <formula>"-"</formula>
    </cfRule>
    <cfRule type="cellIs" dxfId="7" priority="65" operator="equal">
      <formula>"+"</formula>
    </cfRule>
  </conditionalFormatting>
  <pageMargins left="0.7" right="0.7" top="0.75" bottom="0.75" header="0.3" footer="0.3"/>
  <pageSetup paperSize="9" orientation="portrait" horizontalDpi="4294967295" verticalDpi="4294967295" r:id="rId1"/>
  <ignoredErrors>
    <ignoredError sqref="R8 R7 R10 R9 R12 R11 R14 R13 R16 R15 R18 R17 R20 R19 R22 R21 R24 R23 R26 R25 R28 R27 R30 R29 R32 R31 R34 R33 R36 R35 R38 R37 R40 R39 R42 R41 R44 R43 R46 R45 R48 R47 R50 R49 R52 R51 R54 R53 R58 R55 R56 R57 R60 R59 R62 R61 O64:R64 R63 R65 O62:Q62 O60:Q60 P56:Q56 O58:Q58 O54:Q54 O52:Q52 O50:Q50 O48:Q48 O46:Q46 O44:Q44 O42:Q42 O40:Q40 O38:Q38 O36:Q36 O34:Q34 O32:Q32 O30:Q30 O28:Q28 O26:Q26 O24:Q24 O22:Q22 O20:Q20 O18:Q18 O16:Q16 O14:Q14 O12:Q12 O9:Q9 O10:Q10 O8:Q8 O11:Q11 O13:Q13 O15:Q15 O17:Q17 O19:Q19 O21:Q21 O23:Q23 O25:Q25 O27:Q27 O29:Q29 O31:Q31 O33:Q33 O35:Q35 O37:Q37 O39:Q39 O41:Q41 O43:Q43 O45:Q45 O47:Q47 O49:Q49 O51:Q51 O53:Q53 O55:Q55 O59:Q59 O57:Q57 O56 O61:Q61 O63:Q63 O7:Q7"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49" id="{1E78FADD-D3CB-4B01-8D1D-BE7CE7178BE4}">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A32:J33 L32:R33</xm:sqref>
        </x14:conditionalFormatting>
        <x14:conditionalFormatting xmlns:xm="http://schemas.microsoft.com/office/excel/2006/main">
          <x14:cfRule type="expression" priority="47" id="{00285603-D8CA-4DAE-8CE7-9462AC9E0E3A}">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A36:J37 L36:R37</xm:sqref>
        </x14:conditionalFormatting>
        <x14:conditionalFormatting xmlns:xm="http://schemas.microsoft.com/office/excel/2006/main">
          <x14:cfRule type="expression" priority="43" id="{1B596EC3-A3DC-4E5E-8A63-3225104189D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A44:J45 L44:R45</xm:sqref>
        </x14:conditionalFormatting>
        <x14:conditionalFormatting xmlns:xm="http://schemas.microsoft.com/office/excel/2006/main">
          <x14:cfRule type="expression" priority="40" id="{192D2CF9-FF26-4A6A-B83D-55F5E5706733}">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A50:J51 L50:R51</xm:sqref>
        </x14:conditionalFormatting>
        <x14:conditionalFormatting xmlns:xm="http://schemas.microsoft.com/office/excel/2006/main">
          <x14:cfRule type="expression" priority="36" id="{DF451014-57C8-414E-A905-AB618168DCE9}">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A58:J59 L58:R59</xm:sqref>
        </x14:conditionalFormatting>
        <x14:conditionalFormatting xmlns:xm="http://schemas.microsoft.com/office/excel/2006/main">
          <x14:cfRule type="expression" priority="62" id="{551CD82E-C30C-48E0-B2D6-F9F3BC46908E}">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B6:J7 L6:R7</xm:sqref>
        </x14:conditionalFormatting>
        <x14:conditionalFormatting xmlns:xm="http://schemas.microsoft.com/office/excel/2006/main">
          <x14:cfRule type="expression" priority="61" id="{A6FFF1B6-3A88-45B9-91C3-80131FAED8D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B8:J9 L8:R9</xm:sqref>
        </x14:conditionalFormatting>
        <x14:conditionalFormatting xmlns:xm="http://schemas.microsoft.com/office/excel/2006/main">
          <x14:cfRule type="expression" priority="60" id="{BA2E9257-AFF9-4BF2-8353-9E752026B06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B10:J11 L10:R11</xm:sqref>
        </x14:conditionalFormatting>
        <x14:conditionalFormatting xmlns:xm="http://schemas.microsoft.com/office/excel/2006/main">
          <x14:cfRule type="expression" priority="59" id="{5BE3E54A-EA1F-4AB7-9310-4EFFADEC901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B12:J13 L12:R13</xm:sqref>
        </x14:conditionalFormatting>
        <x14:conditionalFormatting xmlns:xm="http://schemas.microsoft.com/office/excel/2006/main">
          <x14:cfRule type="expression" priority="58" id="{C5837784-C308-4556-9C31-67FDC1BBCD44}">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B14:J15 L14:R15</xm:sqref>
        </x14:conditionalFormatting>
        <x14:conditionalFormatting xmlns:xm="http://schemas.microsoft.com/office/excel/2006/main">
          <x14:cfRule type="expression" priority="57" id="{E4FEB7A0-C1A3-408C-A1BE-30687C79E7ED}">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B16:J17 L16:R17</xm:sqref>
        </x14:conditionalFormatting>
        <x14:conditionalFormatting xmlns:xm="http://schemas.microsoft.com/office/excel/2006/main">
          <x14:cfRule type="expression" priority="56" id="{F116AB39-E584-47A4-B417-6874D521FDE2}">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B18:J19 L18:R19</xm:sqref>
        </x14:conditionalFormatting>
        <x14:conditionalFormatting xmlns:xm="http://schemas.microsoft.com/office/excel/2006/main">
          <x14:cfRule type="expression" priority="55" id="{A7219C54-1101-48E0-859C-278FC5C056DA}">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B20:J21 L20:R21</xm:sqref>
        </x14:conditionalFormatting>
        <x14:conditionalFormatting xmlns:xm="http://schemas.microsoft.com/office/excel/2006/main">
          <x14:cfRule type="expression" priority="54" id="{621F0277-7AE9-410C-A766-24D3A466EFA5}">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B22:J23 L22:R23</xm:sqref>
        </x14:conditionalFormatting>
        <x14:conditionalFormatting xmlns:xm="http://schemas.microsoft.com/office/excel/2006/main">
          <x14:cfRule type="expression" priority="53" id="{DBC494DA-3295-4419-B61A-62C6AAC2C45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B24:J25 L24:R25</xm:sqref>
        </x14:conditionalFormatting>
        <x14:conditionalFormatting xmlns:xm="http://schemas.microsoft.com/office/excel/2006/main">
          <x14:cfRule type="expression" priority="52" id="{924105D7-F566-4B71-8054-B20046177586}">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B26:J27 L26:R27</xm:sqref>
        </x14:conditionalFormatting>
        <x14:conditionalFormatting xmlns:xm="http://schemas.microsoft.com/office/excel/2006/main">
          <x14:cfRule type="expression" priority="51" id="{D52BFE82-C086-4872-B4C6-412DC4FADC96}">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B28:J29 L28:R29</xm:sqref>
        </x14:conditionalFormatting>
        <x14:conditionalFormatting xmlns:xm="http://schemas.microsoft.com/office/excel/2006/main">
          <x14:cfRule type="expression" priority="50" id="{0B74C900-488E-458D-83F8-34DF5FFC0125}">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B30:J31 L30:R31</xm:sqref>
        </x14:conditionalFormatting>
        <x14:conditionalFormatting xmlns:xm="http://schemas.microsoft.com/office/excel/2006/main">
          <x14:cfRule type="expression" priority="48" id="{39F864A1-FADE-4998-BF65-8083D3700920}">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B34:J35 L34:R35</xm:sqref>
        </x14:conditionalFormatting>
        <x14:conditionalFormatting xmlns:xm="http://schemas.microsoft.com/office/excel/2006/main">
          <x14:cfRule type="expression" priority="46" id="{EFF2F6D3-5CD5-43CB-B4E2-AD7418A2265C}">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B38:J39 L38:R39</xm:sqref>
        </x14:conditionalFormatting>
        <x14:conditionalFormatting xmlns:xm="http://schemas.microsoft.com/office/excel/2006/main">
          <x14:cfRule type="expression" priority="45" id="{7AAF4861-2524-4466-AD85-C2A437777EC8}">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B40:J41 L40:R41</xm:sqref>
        </x14:conditionalFormatting>
        <x14:conditionalFormatting xmlns:xm="http://schemas.microsoft.com/office/excel/2006/main">
          <x14:cfRule type="expression" priority="44" id="{E19EB272-35E1-47B5-A02A-AF7A05E5B79F}">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B42:J43 L42:R43</xm:sqref>
        </x14:conditionalFormatting>
        <x14:conditionalFormatting xmlns:xm="http://schemas.microsoft.com/office/excel/2006/main">
          <x14:cfRule type="expression" priority="42" id="{A4943B77-AAA9-41D4-9493-3DEA571DA06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B46:J47 L46:R47</xm:sqref>
        </x14:conditionalFormatting>
        <x14:conditionalFormatting xmlns:xm="http://schemas.microsoft.com/office/excel/2006/main">
          <x14:cfRule type="expression" priority="41" id="{E63B3AE9-3B74-4A0F-AF9E-9B719ECB98FF}">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B48:J49 L48:R49</xm:sqref>
        </x14:conditionalFormatting>
        <x14:conditionalFormatting xmlns:xm="http://schemas.microsoft.com/office/excel/2006/main">
          <x14:cfRule type="expression" priority="39" id="{BBC26B5B-7F5C-428A-BE70-3DE6AB0B5C83}">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B52:J53 L52:R53</xm:sqref>
        </x14:conditionalFormatting>
        <x14:conditionalFormatting xmlns:xm="http://schemas.microsoft.com/office/excel/2006/main">
          <x14:cfRule type="expression" priority="38" id="{242AD475-2DB6-443A-89AB-8F3EC2F30BEB}">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B54:J55 L54:R55</xm:sqref>
        </x14:conditionalFormatting>
        <x14:conditionalFormatting xmlns:xm="http://schemas.microsoft.com/office/excel/2006/main">
          <x14:cfRule type="expression" priority="37" id="{EEA90EBD-F375-437B-97B3-49D6BC2ED05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B56:J57 L56:R57</xm:sqref>
        </x14:conditionalFormatting>
        <x14:conditionalFormatting xmlns:xm="http://schemas.microsoft.com/office/excel/2006/main">
          <x14:cfRule type="expression" priority="35" id="{398456BD-FD65-40FF-8654-000F6CB80839}">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B60:J61 L60:R61</xm:sqref>
        </x14:conditionalFormatting>
        <x14:conditionalFormatting xmlns:xm="http://schemas.microsoft.com/office/excel/2006/main">
          <x14:cfRule type="expression" priority="34" id="{F8BB44EE-496A-4F2E-9CD9-DDC3A3F306CC}">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B62:J63 L62:R63</xm:sqref>
        </x14:conditionalFormatting>
        <x14:conditionalFormatting xmlns:xm="http://schemas.microsoft.com/office/excel/2006/main">
          <x14:cfRule type="expression" priority="33" id="{23EC04AD-36A6-47D7-AE98-59114BA347B4}">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B64:J65 L64:R65</xm:sqref>
        </x14:conditionalFormatting>
        <x14:conditionalFormatting xmlns:xm="http://schemas.microsoft.com/office/excel/2006/main">
          <x14:cfRule type="expression" priority="31" id="{BDE945FE-0685-43CB-BF13-9986BFF063C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xm:sqref>
        </x14:conditionalFormatting>
        <x14:conditionalFormatting xmlns:xm="http://schemas.microsoft.com/office/excel/2006/main">
          <x14:cfRule type="expression" priority="30" id="{3571309D-9AB7-48FD-945B-9BA3134A8EB9}">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K8</xm:sqref>
        </x14:conditionalFormatting>
        <x14:conditionalFormatting xmlns:xm="http://schemas.microsoft.com/office/excel/2006/main">
          <x14:cfRule type="expression" priority="29" id="{F2AF7A27-2884-4CD4-915B-F4BD459997D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K10</xm:sqref>
        </x14:conditionalFormatting>
        <x14:conditionalFormatting xmlns:xm="http://schemas.microsoft.com/office/excel/2006/main">
          <x14:cfRule type="expression" priority="28" id="{96A0A683-9BF3-4CBA-B267-FAD9268D29DF}">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K12</xm:sqref>
        </x14:conditionalFormatting>
        <x14:conditionalFormatting xmlns:xm="http://schemas.microsoft.com/office/excel/2006/main">
          <x14:cfRule type="expression" priority="27" id="{59EBC3D7-FE45-4F6C-A188-8D78A4982992}">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K14</xm:sqref>
        </x14:conditionalFormatting>
        <x14:conditionalFormatting xmlns:xm="http://schemas.microsoft.com/office/excel/2006/main">
          <x14:cfRule type="expression" priority="26" id="{3D18913E-155E-4880-9231-3DA78501D922}">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K16</xm:sqref>
        </x14:conditionalFormatting>
        <x14:conditionalFormatting xmlns:xm="http://schemas.microsoft.com/office/excel/2006/main">
          <x14:cfRule type="expression" priority="25" id="{112C1AB0-4C7C-4205-88A9-BFC5AA425E71}">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K18</xm:sqref>
        </x14:conditionalFormatting>
        <x14:conditionalFormatting xmlns:xm="http://schemas.microsoft.com/office/excel/2006/main">
          <x14:cfRule type="expression" priority="24" id="{83B7B916-2F96-4F80-9D92-5239534B6166}">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K20</xm:sqref>
        </x14:conditionalFormatting>
        <x14:conditionalFormatting xmlns:xm="http://schemas.microsoft.com/office/excel/2006/main">
          <x14:cfRule type="expression" priority="23" id="{CD54A1E3-A147-483B-856A-C944A35235C8}">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K22</xm:sqref>
        </x14:conditionalFormatting>
        <x14:conditionalFormatting xmlns:xm="http://schemas.microsoft.com/office/excel/2006/main">
          <x14:cfRule type="expression" priority="22" id="{42ADBCD1-5FFA-4DE8-AB76-FEDF52DDB636}">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K24</xm:sqref>
        </x14:conditionalFormatting>
        <x14:conditionalFormatting xmlns:xm="http://schemas.microsoft.com/office/excel/2006/main">
          <x14:cfRule type="expression" priority="21" id="{B96CE78C-F645-463B-A4B0-E8C078F8A6E8}">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K26</xm:sqref>
        </x14:conditionalFormatting>
        <x14:conditionalFormatting xmlns:xm="http://schemas.microsoft.com/office/excel/2006/main">
          <x14:cfRule type="expression" priority="20" id="{A91C6FB9-7D59-4055-BE5E-1C6EBF8127B0}">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K28</xm:sqref>
        </x14:conditionalFormatting>
        <x14:conditionalFormatting xmlns:xm="http://schemas.microsoft.com/office/excel/2006/main">
          <x14:cfRule type="expression" priority="19" id="{71713B8A-CF86-445E-9582-94CFF1BD113E}">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K30</xm:sqref>
        </x14:conditionalFormatting>
        <x14:conditionalFormatting xmlns:xm="http://schemas.microsoft.com/office/excel/2006/main">
          <x14:cfRule type="expression" priority="18" id="{4B268CB1-5EB0-4B11-8715-2A788E5C4A0D}">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K32</xm:sqref>
        </x14:conditionalFormatting>
        <x14:conditionalFormatting xmlns:xm="http://schemas.microsoft.com/office/excel/2006/main">
          <x14:cfRule type="expression" priority="17" id="{45B2534B-791A-4462-8998-D069E9026446}">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K34</xm:sqref>
        </x14:conditionalFormatting>
        <x14:conditionalFormatting xmlns:xm="http://schemas.microsoft.com/office/excel/2006/main">
          <x14:cfRule type="expression" priority="16" id="{B2AA59F7-8EBC-4F4B-9196-B538F577284B}">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K36</xm:sqref>
        </x14:conditionalFormatting>
        <x14:conditionalFormatting xmlns:xm="http://schemas.microsoft.com/office/excel/2006/main">
          <x14:cfRule type="expression" priority="15" id="{B0FC24F9-1357-4913-B8CF-4BE6FABAEEC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K38</xm:sqref>
        </x14:conditionalFormatting>
        <x14:conditionalFormatting xmlns:xm="http://schemas.microsoft.com/office/excel/2006/main">
          <x14:cfRule type="expression" priority="14" id="{3DEB1B1E-2F7C-4197-80DE-D99856DC933D}">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K40</xm:sqref>
        </x14:conditionalFormatting>
        <x14:conditionalFormatting xmlns:xm="http://schemas.microsoft.com/office/excel/2006/main">
          <x14:cfRule type="expression" priority="13" id="{89200968-B00C-4770-A6A5-B0BC6DC26418}">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K42</xm:sqref>
        </x14:conditionalFormatting>
        <x14:conditionalFormatting xmlns:xm="http://schemas.microsoft.com/office/excel/2006/main">
          <x14:cfRule type="expression" priority="12" id="{5792461F-40A2-421D-BA5D-E75ED1415BA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K44</xm:sqref>
        </x14:conditionalFormatting>
        <x14:conditionalFormatting xmlns:xm="http://schemas.microsoft.com/office/excel/2006/main">
          <x14:cfRule type="expression" priority="11" id="{45BAFC42-3806-456B-8039-29FC878F3F1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K46</xm:sqref>
        </x14:conditionalFormatting>
        <x14:conditionalFormatting xmlns:xm="http://schemas.microsoft.com/office/excel/2006/main">
          <x14:cfRule type="expression" priority="10" id="{1D536857-9E3E-49A1-807B-44BE17FAC92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K48</xm:sqref>
        </x14:conditionalFormatting>
        <x14:conditionalFormatting xmlns:xm="http://schemas.microsoft.com/office/excel/2006/main">
          <x14:cfRule type="expression" priority="9" id="{134AE406-497A-4DD3-93BF-5369D551ACE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K50</xm:sqref>
        </x14:conditionalFormatting>
        <x14:conditionalFormatting xmlns:xm="http://schemas.microsoft.com/office/excel/2006/main">
          <x14:cfRule type="expression" priority="8" id="{D068DEE8-FB3E-4215-99EA-F5056E3DF96A}">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K52</xm:sqref>
        </x14:conditionalFormatting>
        <x14:conditionalFormatting xmlns:xm="http://schemas.microsoft.com/office/excel/2006/main">
          <x14:cfRule type="expression" priority="7" id="{CE55D5B4-DB9B-49D3-9F33-70A15BF5FD55}">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K54</xm:sqref>
        </x14:conditionalFormatting>
        <x14:conditionalFormatting xmlns:xm="http://schemas.microsoft.com/office/excel/2006/main">
          <x14:cfRule type="expression" priority="6" id="{A3E61BC0-963A-4810-8B5E-1FD21E3800FE}">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K56</xm:sqref>
        </x14:conditionalFormatting>
        <x14:conditionalFormatting xmlns:xm="http://schemas.microsoft.com/office/excel/2006/main">
          <x14:cfRule type="expression" priority="5" id="{D3814297-1EBD-44C3-9DEA-600776ADC0F7}">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K58</xm:sqref>
        </x14:conditionalFormatting>
        <x14:conditionalFormatting xmlns:xm="http://schemas.microsoft.com/office/excel/2006/main">
          <x14:cfRule type="expression" priority="4" id="{46919CB3-72B1-4287-AA7F-75686D539A11}">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K60</xm:sqref>
        </x14:conditionalFormatting>
        <x14:conditionalFormatting xmlns:xm="http://schemas.microsoft.com/office/excel/2006/main">
          <x14:cfRule type="expression" priority="3" id="{2558273C-8BB8-4F9B-96BA-05B574516D28}">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K62</xm:sqref>
        </x14:conditionalFormatting>
        <x14:conditionalFormatting xmlns:xm="http://schemas.microsoft.com/office/excel/2006/main">
          <x14:cfRule type="expression" priority="2" id="{E916D699-987A-493B-A01B-F465B71AAFB6}">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66E7-ABF0-4C23-9FCF-25AF69297BAC}">
  <sheetPr codeName="Hoja8">
    <tabColor theme="9" tint="-0.499984740745262"/>
  </sheetPr>
  <dimension ref="A1:AH41"/>
  <sheetViews>
    <sheetView topLeftCell="B1" zoomScale="60" workbookViewId="0">
      <selection activeCell="Z11" sqref="Z11"/>
    </sheetView>
  </sheetViews>
  <sheetFormatPr defaultColWidth="11.44140625" defaultRowHeight="14.4" x14ac:dyDescent="0.3"/>
  <cols>
    <col min="1" max="1" width="11.44140625" style="122" hidden="1" customWidth="1"/>
    <col min="2" max="2" width="25" style="122" customWidth="1"/>
    <col min="3" max="12" width="7.21875" style="122" customWidth="1"/>
    <col min="13" max="16384" width="11.44140625" style="122"/>
  </cols>
  <sheetData>
    <row r="1" spans="1:34" x14ac:dyDescent="0.3">
      <c r="K1" s="123"/>
    </row>
    <row r="2" spans="1:34" x14ac:dyDescent="0.3">
      <c r="K2" s="123"/>
    </row>
    <row r="3" spans="1:34" s="124" customFormat="1" x14ac:dyDescent="0.3">
      <c r="B3" s="391" t="s">
        <v>270</v>
      </c>
      <c r="C3" s="392"/>
      <c r="D3" s="392"/>
      <c r="E3" s="392"/>
      <c r="F3" s="392"/>
      <c r="G3" s="392"/>
      <c r="H3" s="392"/>
      <c r="I3" s="392"/>
      <c r="J3" s="392"/>
      <c r="K3" s="393"/>
      <c r="L3" s="126"/>
      <c r="M3" s="126"/>
      <c r="N3" s="126"/>
      <c r="O3" s="126"/>
      <c r="P3" s="126"/>
      <c r="Q3" s="126"/>
      <c r="R3" s="126"/>
      <c r="S3" s="126"/>
      <c r="T3" s="126"/>
      <c r="U3" s="126"/>
      <c r="V3" s="126"/>
      <c r="W3" s="126"/>
      <c r="X3" s="126"/>
      <c r="Y3" s="126"/>
      <c r="Z3" s="126"/>
      <c r="AA3" s="126"/>
      <c r="AB3" s="126"/>
      <c r="AC3" s="126"/>
      <c r="AD3" s="126"/>
      <c r="AE3" s="126"/>
      <c r="AF3" s="126"/>
      <c r="AG3" s="126"/>
      <c r="AH3" s="126"/>
    </row>
    <row r="4" spans="1:34" s="127" customFormat="1" ht="16.5" customHeight="1" x14ac:dyDescent="0.25">
      <c r="B4" s="388" t="s">
        <v>248</v>
      </c>
      <c r="C4" s="387" t="s">
        <v>271</v>
      </c>
      <c r="D4" s="387"/>
      <c r="E4" s="387"/>
      <c r="F4" s="388"/>
      <c r="G4" s="389" t="s">
        <v>190</v>
      </c>
      <c r="H4" s="387"/>
      <c r="I4" s="388"/>
      <c r="J4" s="385" t="s">
        <v>272</v>
      </c>
      <c r="K4" s="386"/>
      <c r="L4" s="126"/>
      <c r="M4" s="128"/>
      <c r="N4" s="126"/>
      <c r="O4" s="126"/>
      <c r="P4" s="126"/>
      <c r="Q4" s="126"/>
      <c r="R4" s="126"/>
      <c r="S4" s="126"/>
      <c r="T4" s="126"/>
      <c r="U4" s="126"/>
      <c r="V4" s="126"/>
      <c r="W4" s="126"/>
      <c r="X4" s="126"/>
      <c r="Y4" s="126"/>
      <c r="Z4" s="126"/>
      <c r="AA4" s="126"/>
      <c r="AB4" s="126"/>
      <c r="AC4" s="126"/>
      <c r="AD4" s="126"/>
      <c r="AE4" s="126"/>
      <c r="AF4" s="126"/>
      <c r="AG4" s="126"/>
      <c r="AH4" s="126"/>
    </row>
    <row r="5" spans="1:34" s="127" customFormat="1" ht="75" customHeight="1" x14ac:dyDescent="0.25">
      <c r="B5" s="390"/>
      <c r="C5" s="146" t="s">
        <v>273</v>
      </c>
      <c r="D5" s="146" t="s">
        <v>274</v>
      </c>
      <c r="E5" s="146" t="s">
        <v>275</v>
      </c>
      <c r="F5" s="147" t="s">
        <v>276</v>
      </c>
      <c r="G5" s="148" t="s">
        <v>273</v>
      </c>
      <c r="H5" s="146" t="s">
        <v>274</v>
      </c>
      <c r="I5" s="147" t="s">
        <v>275</v>
      </c>
      <c r="J5" s="149" t="s">
        <v>277</v>
      </c>
      <c r="K5" s="150" t="s">
        <v>278</v>
      </c>
      <c r="L5" s="128"/>
      <c r="M5" s="128"/>
      <c r="N5" s="126"/>
      <c r="O5" s="126"/>
      <c r="P5" s="126"/>
      <c r="Q5" s="126"/>
      <c r="R5" s="126"/>
      <c r="S5" s="126"/>
      <c r="T5" s="126"/>
      <c r="U5" s="126"/>
      <c r="V5" s="126"/>
      <c r="W5" s="126"/>
      <c r="X5" s="126"/>
      <c r="Y5" s="126"/>
      <c r="Z5" s="126"/>
      <c r="AA5" s="126"/>
      <c r="AB5" s="126"/>
      <c r="AC5" s="126"/>
      <c r="AD5" s="126"/>
      <c r="AE5" s="126"/>
      <c r="AF5" s="126"/>
      <c r="AG5" s="126"/>
      <c r="AH5" s="126"/>
    </row>
    <row r="6" spans="1:34" s="129" customFormat="1" ht="15" customHeight="1" x14ac:dyDescent="0.3">
      <c r="A6" s="129" t="str">
        <f>CHARMS!F$6</f>
        <v>Bansal et al., 2020</v>
      </c>
      <c r="B6" s="188" t="str">
        <f>HLOOKUP($A6,CHARMS!$A$6:$CQ$89,1,)</f>
        <v>Bansal et al., 2020</v>
      </c>
      <c r="C6" s="151" t="str">
        <f>_xlfn.IFNA(IF(HLOOKUP($A6,PROBAST!$A$6:$AE$77,11,)="Low RoB","+",IF(HLOOKUP($A6,PROBAST!$A$6:$AE$77,11,)="High RoB","-",IF(HLOOKUP($A6,PROBAST!$A$6:$AE$77,11,)="Unclear","?",""))),"")</f>
        <v>+</v>
      </c>
      <c r="D6" s="152" t="str">
        <f>_xlfn.IFNA(IF(HLOOKUP($A6,PROBAST!$A$6:$AE$77,25,)="Low RoB","+",IF(HLOOKUP($A6,PROBAST!$A$6:$AE$77,25,)="High RoB","-",IF(HLOOKUP($A6,PROBAST!$A$6:$AE$77,25,)="Unclear","?",""))),"")</f>
        <v>?</v>
      </c>
      <c r="E6" s="152" t="str">
        <f>_xlfn.IFNA(IF(HLOOKUP($A6,PROBAST!$A$6:$AE$77,39,)="Low RoB","+",IF(HLOOKUP($A6,PROBAST!$A$6:$AE$77,39,)="High RoB","-",IF(HLOOKUP($A6,PROBAST!$A$6:$AE$77,39,)="Unclear","?",""))),"")</f>
        <v>?</v>
      </c>
      <c r="F6" s="153" t="str">
        <f>_xlfn.IFNA(IF(HLOOKUP($A6,PROBAST!$A$6:$AE$77,58,)="Low RoB","+",IF(HLOOKUP($A6,PROBAST!$A$6:$AE$77,58,)="High RoB","-",IF(HLOOKUP($A6,PROBAST!$A$6:$AE$77,58,)="Unclear","?",""))),"")</f>
        <v>-</v>
      </c>
      <c r="G6" s="154" t="str">
        <f>_xlfn.IFNA(IF(HLOOKUP($A6,PROBAST!$A$6:$AE$77,12,)="Low concern","+",IF(HLOOKUP($A6,PROBAST!$A$6:$AE$77,12,)="High concern","-",IF(HLOOKUP($A6,PROBAST!$A$6:$AE$77,12,)="Unclear","?",""))),"")</f>
        <v>-</v>
      </c>
      <c r="H6" s="152" t="str">
        <f>_xlfn.IFNA(IF(HLOOKUP($A6,PROBAST!$A$6:$AE$77,26,)="Low concern","+",IF(HLOOKUP($A6,PROBAST!$A$6:$AE$77,26,)="High concern","-",IF(HLOOKUP($A6,PROBAST!$A$6:$AE$77,26,)="Unclear","?",""))),"")</f>
        <v>?</v>
      </c>
      <c r="I6" s="153" t="str">
        <f>_xlfn.IFNA(IF(HLOOKUP($A6,PROBAST!$A$6:$AE$77,40,)="Low concern","+",IF(HLOOKUP($A6,PROBAST!$A$6:$AE$77,40,)="High concern","-",IF(HLOOKUP($A6,PROBAST!$A$6:$AE$77,40,)="Unclear","?",""))),"")</f>
        <v>?</v>
      </c>
      <c r="J6" s="155" t="str">
        <f>_xlfn.IFNA(IF(OR($C6="-",$D6="-",$E6="-",$F6="-"),"-",IF(OR($C6="?",$D6="?",$E6="?",$F6="?"),"?",IF(AND($C6="+",$D6="+",$E6="+",$F6="+"),"+",""))),"")</f>
        <v>-</v>
      </c>
      <c r="K6" s="156" t="str">
        <f>_xlfn.IFNA(IF(OR($G6="-",$H6="-",$I6="-"),"-",IF(OR($G6="?",$H6="?",$I6="?"),"?",IF(AND($G6="+",$H6="+",$I6="+"),"+",""))),"")</f>
        <v>-</v>
      </c>
      <c r="L6" s="130"/>
      <c r="M6" s="130"/>
      <c r="N6" s="130"/>
      <c r="O6" s="130"/>
      <c r="P6" s="130"/>
      <c r="Q6" s="130"/>
      <c r="R6" s="130"/>
      <c r="S6" s="130"/>
      <c r="T6" s="130"/>
      <c r="U6" s="130"/>
      <c r="V6" s="130"/>
      <c r="W6" s="130"/>
      <c r="X6" s="130"/>
      <c r="Y6" s="130"/>
      <c r="Z6" s="130"/>
      <c r="AA6" s="130"/>
      <c r="AB6" s="130"/>
      <c r="AC6" s="130"/>
      <c r="AD6" s="130"/>
      <c r="AE6" s="130"/>
      <c r="AF6" s="130"/>
      <c r="AG6" s="130"/>
      <c r="AH6" s="130"/>
    </row>
    <row r="7" spans="1:34" s="129" customFormat="1" ht="15" customHeight="1" x14ac:dyDescent="0.3">
      <c r="A7" s="129" t="str">
        <f>CHARMS!I$6</f>
        <v>Hamilton et al., 2021</v>
      </c>
      <c r="B7" s="188" t="str">
        <f>HLOOKUP($A7,CHARMS!$A$6:$CQ$89,1,)</f>
        <v>Hamilton et al., 2021</v>
      </c>
      <c r="C7" s="151" t="str">
        <f>_xlfn.IFNA(IF(HLOOKUP($A7,PROBAST!$A$6:$AE$77,11,)="Low RoB","+",IF(HLOOKUP($A7,PROBAST!$A$6:$AE$77,11,)="High RoB","-",IF(HLOOKUP($A7,PROBAST!$A$6:$AE$77,11,)="Unclear","?",""))),"")</f>
        <v>?</v>
      </c>
      <c r="D7" s="152" t="str">
        <f>_xlfn.IFNA(IF(HLOOKUP($A7,PROBAST!$A$6:$AE$77,25,)="Low RoB","+",IF(HLOOKUP($A7,PROBAST!$A$6:$AE$77,25,)="High RoB","-",IF(HLOOKUP($A7,PROBAST!$A$6:$AE$77,25,)="Unclear","?",""))),"")</f>
        <v>?</v>
      </c>
      <c r="E7" s="152" t="str">
        <f>_xlfn.IFNA(IF(HLOOKUP($A7,PROBAST!$A$6:$AE$77,39,)="Low RoB","+",IF(HLOOKUP($A7,PROBAST!$A$6:$AE$77,39,)="High RoB","-",IF(HLOOKUP($A7,PROBAST!$A$6:$AE$77,39,)="Unclear","?",""))),"")</f>
        <v>?</v>
      </c>
      <c r="F7" s="153" t="str">
        <f>_xlfn.IFNA(IF(HLOOKUP($A7,PROBAST!$A$6:$AE$77,58,)="Low RoB","+",IF(HLOOKUP($A7,PROBAST!$A$6:$AE$77,58,)="High RoB","-",IF(HLOOKUP($A7,PROBAST!$A$6:$AE$77,58,)="Unclear","?",""))),"")</f>
        <v>-</v>
      </c>
      <c r="G7" s="154" t="str">
        <f>_xlfn.IFNA(IF(HLOOKUP($A7,PROBAST!$A$6:$AE$77,12,)="Low concern","+",IF(HLOOKUP($A7,PROBAST!$A$6:$AE$77,12,)="High concern","-",IF(HLOOKUP($A7,PROBAST!$A$6:$AE$77,12,)="Unclear","?",""))),"")</f>
        <v>?</v>
      </c>
      <c r="H7" s="152" t="str">
        <f>_xlfn.IFNA(IF(HLOOKUP($A7,PROBAST!$A$6:$AE$77,26,)="Low concern","+",IF(HLOOKUP($A7,PROBAST!$A$6:$AE$77,26,)="High concern","-",IF(HLOOKUP($A7,PROBAST!$A$6:$AE$77,26,)="Unclear","?",""))),"")</f>
        <v>?</v>
      </c>
      <c r="I7" s="153" t="str">
        <f>_xlfn.IFNA(IF(HLOOKUP($A7,PROBAST!$A$6:$AE$77,40,)="Low concern","+",IF(HLOOKUP($A7,PROBAST!$A$6:$AE$77,40,)="High concern","-",IF(HLOOKUP($A7,PROBAST!$A$6:$AE$77,40,)="Unclear","?",""))),"")</f>
        <v>?</v>
      </c>
      <c r="J7" s="155" t="str">
        <f t="shared" ref="J7:J14" si="0">_xlfn.IFNA(IF(OR($C7="-",$D7="-",$E7="-",$F7="-"),"-",IF(OR($C7="?",$D7="?",$E7="?",$F7="?"),"?",IF(AND($C7="+",$D7="+",$E7="+",$F7="+"),"+",""))),"")</f>
        <v>-</v>
      </c>
      <c r="K7" s="156" t="str">
        <f t="shared" ref="K7:K14" si="1">_xlfn.IFNA(IF(OR($G7="-",$H7="-",$I7="-"),"-",IF(OR($G7="?",$H7="?",$I7="?"),"?",IF(AND($G7="+",$H7="+",$I7="+"),"+",""))),"")</f>
        <v>?</v>
      </c>
      <c r="L7" s="130"/>
      <c r="M7" s="130"/>
      <c r="N7" s="130"/>
      <c r="O7" s="130"/>
      <c r="P7" s="130"/>
      <c r="Q7" s="130"/>
      <c r="R7" s="130"/>
      <c r="S7" s="130"/>
      <c r="T7" s="130"/>
      <c r="U7" s="130"/>
      <c r="V7" s="130"/>
      <c r="W7" s="130"/>
      <c r="X7" s="130"/>
      <c r="Y7" s="130"/>
      <c r="Z7" s="130"/>
      <c r="AA7" s="130"/>
      <c r="AB7" s="130"/>
      <c r="AC7" s="130"/>
      <c r="AD7" s="130"/>
      <c r="AE7" s="130"/>
      <c r="AF7" s="130"/>
      <c r="AG7" s="130"/>
      <c r="AH7" s="130"/>
    </row>
    <row r="8" spans="1:34" s="129" customFormat="1" ht="15" customHeight="1" x14ac:dyDescent="0.3">
      <c r="A8" s="129" t="str">
        <f>CHARMS!L$6</f>
        <v>Hamilton et al., 2022</v>
      </c>
      <c r="B8" s="188" t="str">
        <f>HLOOKUP($A8,CHARMS!$A$6:$CQ$89,1,)</f>
        <v>Hamilton et al., 2022</v>
      </c>
      <c r="C8" s="151" t="str">
        <f>_xlfn.IFNA(IF(HLOOKUP($A8,PROBAST!$A$6:$AE$77,11,)="Low RoB","+",IF(HLOOKUP($A8,PROBAST!$A$6:$AE$77,11,)="High RoB","-",IF(HLOOKUP($A8,PROBAST!$A$6:$AE$77,11,)="Unclear","?",""))),"")</f>
        <v>?</v>
      </c>
      <c r="D8" s="152" t="str">
        <f>_xlfn.IFNA(IF(HLOOKUP($A8,PROBAST!$A$6:$AE$77,25,)="Low RoB","+",IF(HLOOKUP($A8,PROBAST!$A$6:$AE$77,25,)="High RoB","-",IF(HLOOKUP($A8,PROBAST!$A$6:$AE$77,25,)="Unclear","?",""))),"")</f>
        <v>?</v>
      </c>
      <c r="E8" s="152" t="str">
        <f>_xlfn.IFNA(IF(HLOOKUP($A8,PROBAST!$A$6:$AE$77,39,)="Low RoB","+",IF(HLOOKUP($A8,PROBAST!$A$6:$AE$77,39,)="High RoB","-",IF(HLOOKUP($A8,PROBAST!$A$6:$AE$77,39,)="Unclear","?",""))),"")</f>
        <v>?</v>
      </c>
      <c r="F8" s="153" t="str">
        <f>_xlfn.IFNA(IF(HLOOKUP($A8,PROBAST!$A$6:$AE$77,58,)="Low RoB","+",IF(HLOOKUP($A8,PROBAST!$A$6:$AE$77,58,)="High RoB","-",IF(HLOOKUP($A8,PROBAST!$A$6:$AE$77,58,)="Unclear","?",""))),"")</f>
        <v>-</v>
      </c>
      <c r="G8" s="154" t="str">
        <f>_xlfn.IFNA(IF(HLOOKUP($A8,PROBAST!$A$6:$AE$77,12,)="Low concern","+",IF(HLOOKUP($A8,PROBAST!$A$6:$AE$77,12,)="High concern","-",IF(HLOOKUP($A8,PROBAST!$A$6:$AE$77,12,)="Unclear","?",""))),"")</f>
        <v>?</v>
      </c>
      <c r="H8" s="152" t="str">
        <f>_xlfn.IFNA(IF(HLOOKUP($A8,PROBAST!$A$6:$AE$77,26,)="Low concern","+",IF(HLOOKUP($A8,PROBAST!$A$6:$AE$77,26,)="High concern","-",IF(HLOOKUP($A8,PROBAST!$A$6:$AE$77,26,)="Unclear","?",""))),"")</f>
        <v>?</v>
      </c>
      <c r="I8" s="153" t="str">
        <f>_xlfn.IFNA(IF(HLOOKUP($A8,PROBAST!$A$6:$AE$77,40,)="Low concern","+",IF(HLOOKUP($A8,PROBAST!$A$6:$AE$77,40,)="High concern","-",IF(HLOOKUP($A8,PROBAST!$A$6:$AE$77,40,)="Unclear","?",""))),"")</f>
        <v>?</v>
      </c>
      <c r="J8" s="155" t="str">
        <f t="shared" si="0"/>
        <v>-</v>
      </c>
      <c r="K8" s="156" t="str">
        <f t="shared" si="1"/>
        <v>?</v>
      </c>
      <c r="L8" s="130"/>
      <c r="M8" s="130"/>
      <c r="N8" s="130"/>
      <c r="O8" s="130"/>
      <c r="P8" s="130"/>
      <c r="Q8" s="130"/>
      <c r="R8" s="130"/>
      <c r="S8" s="130"/>
      <c r="T8" s="130"/>
      <c r="U8" s="130"/>
      <c r="V8" s="130"/>
      <c r="W8" s="130"/>
      <c r="X8" s="130"/>
      <c r="Y8" s="130"/>
      <c r="Z8" s="130"/>
      <c r="AA8" s="130"/>
      <c r="AB8" s="130"/>
      <c r="AC8" s="130"/>
      <c r="AD8" s="130"/>
      <c r="AE8" s="130"/>
      <c r="AF8" s="130"/>
      <c r="AG8" s="130"/>
      <c r="AH8" s="130"/>
    </row>
    <row r="9" spans="1:34" s="129" customFormat="1" ht="15" customHeight="1" x14ac:dyDescent="0.3">
      <c r="A9" s="129" t="str">
        <f>CHARMS!O$6</f>
        <v>Mortazavi et al., 2019</v>
      </c>
      <c r="B9" s="188" t="str">
        <f>HLOOKUP($A9,CHARMS!$A$6:$CQ$89,1,)</f>
        <v>Mortazavi et al., 2019</v>
      </c>
      <c r="C9" s="151" t="str">
        <f>_xlfn.IFNA(IF(HLOOKUP($A9,PROBAST!$A$6:$AE$77,11,)="Low RoB","+",IF(HLOOKUP($A9,PROBAST!$A$6:$AE$77,11,)="High RoB","-",IF(HLOOKUP($A9,PROBAST!$A$6:$AE$77,11,)="Unclear","?",""))),"")</f>
        <v>+</v>
      </c>
      <c r="D9" s="152" t="str">
        <f>_xlfn.IFNA(IF(HLOOKUP($A9,PROBAST!$A$6:$AE$77,25,)="Low RoB","+",IF(HLOOKUP($A9,PROBAST!$A$6:$AE$77,25,)="High RoB","-",IF(HLOOKUP($A9,PROBAST!$A$6:$AE$77,25,)="Unclear","?",""))),"")</f>
        <v>+</v>
      </c>
      <c r="E9" s="152" t="str">
        <f>_xlfn.IFNA(IF(HLOOKUP($A9,PROBAST!$A$6:$AE$77,39,)="Low RoB","+",IF(HLOOKUP($A9,PROBAST!$A$6:$AE$77,39,)="High RoB","-",IF(HLOOKUP($A9,PROBAST!$A$6:$AE$77,39,)="Unclear","?",""))),"")</f>
        <v>+</v>
      </c>
      <c r="F9" s="153" t="str">
        <f>_xlfn.IFNA(IF(HLOOKUP($A9,PROBAST!$A$6:$AE$77,58,)="Low RoB","+",IF(HLOOKUP($A9,PROBAST!$A$6:$AE$77,58,)="High RoB","-",IF(HLOOKUP($A9,PROBAST!$A$6:$AE$77,58,)="Unclear","?",""))),"")</f>
        <v>-</v>
      </c>
      <c r="G9" s="154" t="str">
        <f>_xlfn.IFNA(IF(HLOOKUP($A9,PROBAST!$A$6:$AE$77,12,)="Low concern","+",IF(HLOOKUP($A9,PROBAST!$A$6:$AE$77,12,)="High concern","-",IF(HLOOKUP($A9,PROBAST!$A$6:$AE$77,12,)="Unclear","?",""))),"")</f>
        <v>+</v>
      </c>
      <c r="H9" s="152" t="str">
        <f>_xlfn.IFNA(IF(HLOOKUP($A9,PROBAST!$A$6:$AE$77,26,)="Low concern","+",IF(HLOOKUP($A9,PROBAST!$A$6:$AE$77,26,)="High concern","-",IF(HLOOKUP($A9,PROBAST!$A$6:$AE$77,26,)="Unclear","?",""))),"")</f>
        <v>+</v>
      </c>
      <c r="I9" s="153" t="str">
        <f>_xlfn.IFNA(IF(HLOOKUP($A9,PROBAST!$A$6:$AE$77,40,)="Low concern","+",IF(HLOOKUP($A9,PROBAST!$A$6:$AE$77,40,)="High concern","-",IF(HLOOKUP($A9,PROBAST!$A$6:$AE$77,40,)="Unclear","?",""))),"")</f>
        <v>+</v>
      </c>
      <c r="J9" s="155" t="str">
        <f t="shared" si="0"/>
        <v>-</v>
      </c>
      <c r="K9" s="156" t="str">
        <f t="shared" si="1"/>
        <v>+</v>
      </c>
      <c r="L9" s="130"/>
      <c r="M9" s="130"/>
      <c r="N9" s="130"/>
      <c r="O9" s="130"/>
      <c r="P9" s="130"/>
      <c r="Q9" s="130"/>
      <c r="R9" s="130"/>
      <c r="S9" s="130"/>
      <c r="T9" s="130"/>
      <c r="U9" s="130"/>
      <c r="V9" s="130"/>
      <c r="W9" s="130"/>
      <c r="X9" s="130"/>
      <c r="Y9" s="130"/>
      <c r="Z9" s="130"/>
      <c r="AA9" s="130"/>
      <c r="AB9" s="130"/>
      <c r="AC9" s="130"/>
      <c r="AD9" s="130"/>
      <c r="AE9" s="130"/>
      <c r="AF9" s="130"/>
      <c r="AG9" s="130"/>
      <c r="AH9" s="130"/>
    </row>
    <row r="10" spans="1:34" s="129" customFormat="1" ht="15" customHeight="1" x14ac:dyDescent="0.25">
      <c r="A10" s="127" t="str">
        <f>CHARMS!R$6</f>
        <v>Kulkarni et al., 2021</v>
      </c>
      <c r="B10" s="188" t="str">
        <f>HLOOKUP($A10,CHARMS!$A$6:$CQ$89,1,)</f>
        <v>Kulkarni et al., 2021</v>
      </c>
      <c r="C10" s="151" t="str">
        <f>_xlfn.IFNA(IF(HLOOKUP($A10,PROBAST!$A$6:$AE$77,11,)="Low RoB","+",IF(HLOOKUP($A10,PROBAST!$A$6:$AE$77,11,)="High RoB","-",IF(HLOOKUP($A10,PROBAST!$A$6:$AE$77,11,)="Unclear","?",""))),"")</f>
        <v>?</v>
      </c>
      <c r="D10" s="152" t="str">
        <f>_xlfn.IFNA(IF(HLOOKUP($A10,PROBAST!$A$6:$AE$77,25,)="Low RoB","+",IF(HLOOKUP($A10,PROBAST!$A$6:$AE$77,25,)="High RoB","-",IF(HLOOKUP($A10,PROBAST!$A$6:$AE$77,25,)="Unclear","?",""))),"")</f>
        <v>+</v>
      </c>
      <c r="E10" s="152" t="str">
        <f>_xlfn.IFNA(IF(HLOOKUP($A10,PROBAST!$A$6:$AE$77,39,)="Low RoB","+",IF(HLOOKUP($A10,PROBAST!$A$6:$AE$77,39,)="High RoB","-",IF(HLOOKUP($A10,PROBAST!$A$6:$AE$77,39,)="Unclear","?",""))),"")</f>
        <v>+</v>
      </c>
      <c r="F10" s="153" t="str">
        <f>_xlfn.IFNA(IF(HLOOKUP($A10,PROBAST!$A$6:$AE$77,58,)="Low RoB","+",IF(HLOOKUP($A10,PROBAST!$A$6:$AE$77,58,)="High RoB","-",IF(HLOOKUP($A10,PROBAST!$A$6:$AE$77,58,)="Unclear","?",""))),"")</f>
        <v>-</v>
      </c>
      <c r="G10" s="154" t="str">
        <f>_xlfn.IFNA(IF(HLOOKUP($A10,PROBAST!$A$6:$AE$77,12,)="Low concern","+",IF(HLOOKUP($A10,PROBAST!$A$6:$AE$77,12,)="High concern","-",IF(HLOOKUP($A10,PROBAST!$A$6:$AE$77,12,)="Unclear","?",""))),"")</f>
        <v>?</v>
      </c>
      <c r="H10" s="152" t="str">
        <f>_xlfn.IFNA(IF(HLOOKUP($A10,PROBAST!$A$6:$AE$77,26,)="Low concern","+",IF(HLOOKUP($A10,PROBAST!$A$6:$AE$77,26,)="High concern","-",IF(HLOOKUP($A10,PROBAST!$A$6:$AE$77,26,)="Unclear","?",""))),"")</f>
        <v>+</v>
      </c>
      <c r="I10" s="153" t="str">
        <f>_xlfn.IFNA(IF(HLOOKUP($A10,PROBAST!$A$6:$AE$77,40,)="Low concern","+",IF(HLOOKUP($A10,PROBAST!$A$6:$AE$77,40,)="High concern","-",IF(HLOOKUP($A10,PROBAST!$A$6:$AE$77,40,)="Unclear","?",""))),"")</f>
        <v>+</v>
      </c>
      <c r="J10" s="155" t="str">
        <f t="shared" si="0"/>
        <v>-</v>
      </c>
      <c r="K10" s="156" t="str">
        <f t="shared" si="1"/>
        <v>?</v>
      </c>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row>
    <row r="11" spans="1:34" s="129" customFormat="1" ht="15" customHeight="1" x14ac:dyDescent="0.25">
      <c r="A11" s="127" t="str">
        <f>CHARMS!U$6</f>
        <v>Niimi et al., 2022</v>
      </c>
      <c r="B11" s="188" t="str">
        <f>HLOOKUP($A11,CHARMS!$A$6:$CQ$89,1,)</f>
        <v>Niimi et al., 2022</v>
      </c>
      <c r="C11" s="151" t="str">
        <f>_xlfn.IFNA(IF(HLOOKUP($A11,PROBAST!$A$6:$AE$77,11,)="Low RoB","+",IF(HLOOKUP($A11,PROBAST!$A$6:$AE$77,11,)="High RoB","-",IF(HLOOKUP($A11,PROBAST!$A$6:$AE$77,11,)="Unclear","?",""))),"")</f>
        <v>+</v>
      </c>
      <c r="D11" s="152" t="str">
        <f>_xlfn.IFNA(IF(HLOOKUP($A11,PROBAST!$A$6:$AE$77,25,)="Low RoB","+",IF(HLOOKUP($A11,PROBAST!$A$6:$AE$77,25,)="High RoB","-",IF(HLOOKUP($A11,PROBAST!$A$6:$AE$77,25,)="Unclear","?",""))),"")</f>
        <v>+</v>
      </c>
      <c r="E11" s="152" t="str">
        <f>_xlfn.IFNA(IF(HLOOKUP($A11,PROBAST!$A$6:$AE$77,39,)="Low RoB","+",IF(HLOOKUP($A11,PROBAST!$A$6:$AE$77,39,)="High RoB","-",IF(HLOOKUP($A11,PROBAST!$A$6:$AE$77,39,)="Unclear","?",""))),"")</f>
        <v>+</v>
      </c>
      <c r="F11" s="153" t="str">
        <f>_xlfn.IFNA(IF(HLOOKUP($A11,PROBAST!$A$6:$AE$77,58,)="Low RoB","+",IF(HLOOKUP($A11,PROBAST!$A$6:$AE$77,58,)="High RoB","-",IF(HLOOKUP($A11,PROBAST!$A$6:$AE$77,58,)="Unclear","?",""))),"")</f>
        <v>-</v>
      </c>
      <c r="G11" s="154" t="str">
        <f>_xlfn.IFNA(IF(HLOOKUP($A11,PROBAST!$A$6:$AE$77,12,)="Low concern","+",IF(HLOOKUP($A11,PROBAST!$A$6:$AE$77,12,)="High concern","-",IF(HLOOKUP($A11,PROBAST!$A$6:$AE$77,12,)="Unclear","?",""))),"")</f>
        <v>+</v>
      </c>
      <c r="H11" s="152" t="str">
        <f>_xlfn.IFNA(IF(HLOOKUP($A11,PROBAST!$A$6:$AE$77,26,)="Low concern","+",IF(HLOOKUP($A11,PROBAST!$A$6:$AE$77,26,)="High concern","-",IF(HLOOKUP($A11,PROBAST!$A$6:$AE$77,26,)="Unclear","?",""))),"")</f>
        <v>+</v>
      </c>
      <c r="I11" s="153" t="str">
        <f>_xlfn.IFNA(IF(HLOOKUP($A11,PROBAST!$A$6:$AE$77,40,)="Low concern","+",IF(HLOOKUP($A11,PROBAST!$A$6:$AE$77,40,)="High concern","-",IF(HLOOKUP($A11,PROBAST!$A$6:$AE$77,40,)="Unclear","?",""))),"")</f>
        <v>+</v>
      </c>
      <c r="J11" s="155" t="str">
        <f t="shared" si="0"/>
        <v>-</v>
      </c>
      <c r="K11" s="156" t="str">
        <f t="shared" si="1"/>
        <v>+</v>
      </c>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row>
    <row r="12" spans="1:34" s="129" customFormat="1" ht="15" customHeight="1" x14ac:dyDescent="0.25">
      <c r="A12" s="127" t="str">
        <f>CHARMS!X$6</f>
        <v>Rayfield et al., 2020</v>
      </c>
      <c r="B12" s="188" t="str">
        <f>HLOOKUP($A12,CHARMS!$A$6:$CQ$89,1,)</f>
        <v>Rayfield et al., 2020</v>
      </c>
      <c r="C12" s="151" t="str">
        <f>_xlfn.IFNA(IF(HLOOKUP($A12,PROBAST!$A$6:$AE$77,11,)="Low RoB","+",IF(HLOOKUP($A12,PROBAST!$A$6:$AE$77,11,)="High RoB","-",IF(HLOOKUP($A12,PROBAST!$A$6:$AE$77,11,)="Unclear","?",""))),"")</f>
        <v>+</v>
      </c>
      <c r="D12" s="152" t="str">
        <f>_xlfn.IFNA(IF(HLOOKUP($A12,PROBAST!$A$6:$AE$77,25,)="Low RoB","+",IF(HLOOKUP($A12,PROBAST!$A$6:$AE$77,25,)="High RoB","-",IF(HLOOKUP($A12,PROBAST!$A$6:$AE$77,25,)="Unclear","?",""))),"")</f>
        <v>-</v>
      </c>
      <c r="E12" s="152" t="str">
        <f>_xlfn.IFNA(IF(HLOOKUP($A12,PROBAST!$A$6:$AE$77,39,)="Low RoB","+",IF(HLOOKUP($A12,PROBAST!$A$6:$AE$77,39,)="High RoB","-",IF(HLOOKUP($A12,PROBAST!$A$6:$AE$77,39,)="Unclear","?",""))),"")</f>
        <v>+</v>
      </c>
      <c r="F12" s="153" t="str">
        <f>_xlfn.IFNA(IF(HLOOKUP($A12,PROBAST!$A$6:$AE$77,58,)="Low RoB","+",IF(HLOOKUP($A12,PROBAST!$A$6:$AE$77,58,)="High RoB","-",IF(HLOOKUP($A12,PROBAST!$A$6:$AE$77,58,)="Unclear","?",""))),"")</f>
        <v>-</v>
      </c>
      <c r="G12" s="154" t="str">
        <f>_xlfn.IFNA(IF(HLOOKUP($A12,PROBAST!$A$6:$AE$77,12,)="Low concern","+",IF(HLOOKUP($A12,PROBAST!$A$6:$AE$77,12,)="High concern","-",IF(HLOOKUP($A12,PROBAST!$A$6:$AE$77,12,)="Unclear","?",""))),"")</f>
        <v>+</v>
      </c>
      <c r="H12" s="152" t="str">
        <f>_xlfn.IFNA(IF(HLOOKUP($A12,PROBAST!$A$6:$AE$77,26,)="Low concern","+",IF(HLOOKUP($A12,PROBAST!$A$6:$AE$77,26,)="High concern","-",IF(HLOOKUP($A12,PROBAST!$A$6:$AE$77,26,)="Unclear","?",""))),"")</f>
        <v>-</v>
      </c>
      <c r="I12" s="153" t="str">
        <f>_xlfn.IFNA(IF(HLOOKUP($A12,PROBAST!$A$6:$AE$77,40,)="Low concern","+",IF(HLOOKUP($A12,PROBAST!$A$6:$AE$77,40,)="High concern","-",IF(HLOOKUP($A12,PROBAST!$A$6:$AE$77,40,)="Unclear","?",""))),"")</f>
        <v>+</v>
      </c>
      <c r="J12" s="155" t="str">
        <f t="shared" si="0"/>
        <v>-</v>
      </c>
      <c r="K12" s="156" t="str">
        <f t="shared" si="1"/>
        <v>-</v>
      </c>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row>
    <row r="13" spans="1:34" s="129" customFormat="1" ht="15" customHeight="1" x14ac:dyDescent="0.25">
      <c r="A13" s="127" t="str">
        <f>CHARMS!AA$6</f>
        <v>Zhao et al., 2023</v>
      </c>
      <c r="B13" s="188" t="str">
        <f>HLOOKUP($A13,CHARMS!$A$6:$CQ$89,1,)</f>
        <v>Zhao et al., 2023</v>
      </c>
      <c r="C13" s="151" t="str">
        <f>_xlfn.IFNA(IF(HLOOKUP($A13,PROBAST!$A$6:$AE$77,11,)="Low RoB","+",IF(HLOOKUP($A13,PROBAST!$A$6:$AE$77,11,)="High RoB","-",IF(HLOOKUP($A13,PROBAST!$A$6:$AE$77,11,)="Unclear","?",""))),"")</f>
        <v>+</v>
      </c>
      <c r="D13" s="152" t="str">
        <f>_xlfn.IFNA(IF(HLOOKUP($A13,PROBAST!$A$6:$AE$77,25,)="Low RoB","+",IF(HLOOKUP($A13,PROBAST!$A$6:$AE$77,25,)="High RoB","-",IF(HLOOKUP($A13,PROBAST!$A$6:$AE$77,25,)="Unclear","?",""))),"")</f>
        <v>+</v>
      </c>
      <c r="E13" s="152" t="str">
        <f>_xlfn.IFNA(IF(HLOOKUP($A13,PROBAST!$A$6:$AE$77,39,)="Low RoB","+",IF(HLOOKUP($A13,PROBAST!$A$6:$AE$77,39,)="High RoB","-",IF(HLOOKUP($A13,PROBAST!$A$6:$AE$77,39,)="Unclear","?",""))),"")</f>
        <v>+</v>
      </c>
      <c r="F13" s="153" t="str">
        <f>_xlfn.IFNA(IF(HLOOKUP($A13,PROBAST!$A$6:$AE$77,58,)="Low RoB","+",IF(HLOOKUP($A13,PROBAST!$A$6:$AE$77,58,)="High RoB","-",IF(HLOOKUP($A13,PROBAST!$A$6:$AE$77,58,)="Unclear","?",""))),"")</f>
        <v>-</v>
      </c>
      <c r="G13" s="154" t="str">
        <f>_xlfn.IFNA(IF(HLOOKUP($A13,PROBAST!$A$6:$AE$77,12,)="Low concern","+",IF(HLOOKUP($A13,PROBAST!$A$6:$AE$77,12,)="High concern","-",IF(HLOOKUP($A13,PROBAST!$A$6:$AE$77,12,)="Unclear","?",""))),"")</f>
        <v>+</v>
      </c>
      <c r="H13" s="152" t="str">
        <f>_xlfn.IFNA(IF(HLOOKUP($A13,PROBAST!$A$6:$AE$77,26,)="Low concern","+",IF(HLOOKUP($A13,PROBAST!$A$6:$AE$77,26,)="High concern","-",IF(HLOOKUP($A13,PROBAST!$A$6:$AE$77,26,)="Unclear","?",""))),"")</f>
        <v>+</v>
      </c>
      <c r="I13" s="153" t="str">
        <f>_xlfn.IFNA(IF(HLOOKUP($A13,PROBAST!$A$6:$AE$77,40,)="Low concern","+",IF(HLOOKUP($A13,PROBAST!$A$6:$AE$77,40,)="High concern","-",IF(HLOOKUP($A13,PROBAST!$A$6:$AE$77,40,)="Unclear","?",""))),"")</f>
        <v>+</v>
      </c>
      <c r="J13" s="155" t="str">
        <f t="shared" si="0"/>
        <v>-</v>
      </c>
      <c r="K13" s="156" t="str">
        <f t="shared" si="1"/>
        <v>+</v>
      </c>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row>
    <row r="14" spans="1:34" s="129" customFormat="1" ht="15" customHeight="1" x14ac:dyDescent="0.25">
      <c r="A14" s="127" t="str">
        <f>CHARMS!AD$6</f>
        <v>Hurley et al., 2021</v>
      </c>
      <c r="B14" s="188" t="str">
        <f>HLOOKUP($A14,CHARMS!$A$6:$CQ$89,1,)</f>
        <v>Hurley et al., 2021</v>
      </c>
      <c r="C14" s="151" t="str">
        <f>_xlfn.IFNA(IF(HLOOKUP($A14,PROBAST!$A$6:$AE$77,11,)="Low RoB","+",IF(HLOOKUP($A14,PROBAST!$A$6:$AE$77,11,)="High RoB","-",IF(HLOOKUP($A14,PROBAST!$A$6:$AE$77,11,)="Unclear","?",""))),"")</f>
        <v>+</v>
      </c>
      <c r="D14" s="152" t="str">
        <f>_xlfn.IFNA(IF(HLOOKUP($A14,PROBAST!$A$6:$AE$77,25,)="Low RoB","+",IF(HLOOKUP($A14,PROBAST!$A$6:$AE$77,25,)="High RoB","-",IF(HLOOKUP($A14,PROBAST!$A$6:$AE$77,25,)="Unclear","?",""))),"")</f>
        <v>+</v>
      </c>
      <c r="E14" s="152" t="str">
        <f>_xlfn.IFNA(IF(HLOOKUP($A14,PROBAST!$A$6:$AE$77,39,)="Low RoB","+",IF(HLOOKUP($A14,PROBAST!$A$6:$AE$77,39,)="High RoB","-",IF(HLOOKUP($A14,PROBAST!$A$6:$AE$77,39,)="Unclear","?",""))),"")</f>
        <v>+</v>
      </c>
      <c r="F14" s="153" t="str">
        <f>_xlfn.IFNA(IF(HLOOKUP($A14,PROBAST!$A$6:$AE$77,58,)="Low RoB","+",IF(HLOOKUP($A14,PROBAST!$A$6:$AE$77,58,)="High RoB","-",IF(HLOOKUP($A14,PROBAST!$A$6:$AE$77,58,)="Unclear","?",""))),"")</f>
        <v>?</v>
      </c>
      <c r="G14" s="154" t="str">
        <f>_xlfn.IFNA(IF(HLOOKUP($A14,PROBAST!$A$6:$AE$77,12,)="Low concern","+",IF(HLOOKUP($A14,PROBAST!$A$6:$AE$77,12,)="High concern","-",IF(HLOOKUP($A14,PROBAST!$A$6:$AE$77,12,)="Unclear","?",""))),"")</f>
        <v>+</v>
      </c>
      <c r="H14" s="152" t="str">
        <f>_xlfn.IFNA(IF(HLOOKUP($A14,PROBAST!$A$6:$AE$77,26,)="Low concern","+",IF(HLOOKUP($A14,PROBAST!$A$6:$AE$77,26,)="High concern","-",IF(HLOOKUP($A14,PROBAST!$A$6:$AE$77,26,)="Unclear","?",""))),"")</f>
        <v>+</v>
      </c>
      <c r="I14" s="153" t="str">
        <f>_xlfn.IFNA(IF(HLOOKUP($A14,PROBAST!$A$6:$AE$77,40,)="Low concern","+",IF(HLOOKUP($A14,PROBAST!$A$6:$AE$77,40,)="High concern","-",IF(HLOOKUP($A14,PROBAST!$A$6:$AE$77,40,)="Unclear","?",""))),"")</f>
        <v>+</v>
      </c>
      <c r="J14" s="155" t="str">
        <f t="shared" si="0"/>
        <v>?</v>
      </c>
      <c r="K14" s="156" t="str">
        <f t="shared" si="1"/>
        <v>+</v>
      </c>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row>
    <row r="15" spans="1:34" s="129" customFormat="1" ht="15" customHeight="1" x14ac:dyDescent="0.25">
      <c r="A15" s="127" t="str">
        <f>CHARMS!AG$6</f>
        <v/>
      </c>
      <c r="B15" s="188"/>
      <c r="C15" s="151"/>
      <c r="D15" s="152"/>
      <c r="E15" s="152"/>
      <c r="F15" s="153"/>
      <c r="G15" s="154"/>
      <c r="H15" s="152"/>
      <c r="I15" s="153"/>
      <c r="J15" s="155"/>
      <c r="K15" s="156"/>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row>
    <row r="16" spans="1:34" s="127" customFormat="1" ht="15" customHeight="1" x14ac:dyDescent="0.25">
      <c r="A16" s="127" t="str">
        <f>CHARMS!AJ$6</f>
        <v/>
      </c>
      <c r="B16" s="188"/>
      <c r="C16" s="151"/>
      <c r="D16" s="152"/>
      <c r="E16" s="152"/>
      <c r="F16" s="153"/>
      <c r="G16" s="154"/>
      <c r="H16" s="152"/>
      <c r="I16" s="153"/>
      <c r="J16" s="155"/>
      <c r="K16" s="156"/>
      <c r="L16" s="130"/>
      <c r="M16" s="126"/>
      <c r="N16" s="126"/>
      <c r="O16" s="126"/>
      <c r="P16" s="126"/>
      <c r="Q16" s="126"/>
      <c r="R16" s="126"/>
      <c r="S16" s="126"/>
      <c r="T16" s="126"/>
      <c r="U16" s="126"/>
      <c r="V16" s="126"/>
      <c r="W16" s="126"/>
      <c r="X16" s="126"/>
      <c r="Y16" s="126"/>
      <c r="Z16" s="126"/>
      <c r="AA16" s="126"/>
      <c r="AB16" s="126"/>
      <c r="AC16" s="126"/>
      <c r="AD16" s="126"/>
      <c r="AE16" s="126"/>
      <c r="AF16" s="126"/>
      <c r="AG16" s="126"/>
      <c r="AH16" s="126"/>
    </row>
    <row r="17" spans="1:34" s="127" customFormat="1" ht="15" customHeight="1" x14ac:dyDescent="0.25">
      <c r="A17" s="127" t="str">
        <f>CHARMS!AM$6</f>
        <v/>
      </c>
      <c r="B17" s="188"/>
      <c r="C17" s="151"/>
      <c r="D17" s="152"/>
      <c r="E17" s="152"/>
      <c r="F17" s="153"/>
      <c r="G17" s="154"/>
      <c r="H17" s="152"/>
      <c r="I17" s="153"/>
      <c r="J17" s="155"/>
      <c r="K17" s="156"/>
      <c r="L17" s="130"/>
      <c r="M17" s="126"/>
      <c r="N17" s="126"/>
      <c r="O17" s="126"/>
      <c r="P17" s="126"/>
      <c r="Q17" s="126"/>
      <c r="R17" s="126"/>
      <c r="S17" s="126"/>
      <c r="T17" s="126"/>
      <c r="U17" s="126"/>
      <c r="V17" s="126"/>
      <c r="W17" s="126"/>
      <c r="X17" s="126"/>
      <c r="Y17" s="126"/>
      <c r="Z17" s="126"/>
      <c r="AA17" s="126"/>
      <c r="AB17" s="126"/>
      <c r="AC17" s="126"/>
      <c r="AD17" s="126"/>
      <c r="AE17" s="126"/>
      <c r="AF17" s="126"/>
      <c r="AG17" s="126"/>
      <c r="AH17" s="126"/>
    </row>
    <row r="18" spans="1:34" s="127" customFormat="1" ht="15" customHeight="1" x14ac:dyDescent="0.25">
      <c r="A18" s="127" t="str">
        <f>CHARMS!AP$6</f>
        <v/>
      </c>
      <c r="B18" s="188"/>
      <c r="C18" s="151"/>
      <c r="D18" s="152"/>
      <c r="E18" s="152"/>
      <c r="F18" s="153"/>
      <c r="G18" s="154"/>
      <c r="H18" s="152"/>
      <c r="I18" s="153"/>
      <c r="J18" s="155"/>
      <c r="K18" s="156"/>
      <c r="L18" s="130"/>
      <c r="M18" s="126"/>
      <c r="N18" s="126"/>
      <c r="O18" s="126"/>
      <c r="P18" s="126"/>
      <c r="Q18" s="126"/>
      <c r="R18" s="126"/>
      <c r="S18" s="126"/>
      <c r="T18" s="126"/>
      <c r="U18" s="126"/>
      <c r="V18" s="126"/>
      <c r="W18" s="126"/>
      <c r="X18" s="126"/>
      <c r="Y18" s="126"/>
      <c r="Z18" s="126"/>
      <c r="AA18" s="126"/>
      <c r="AB18" s="126"/>
      <c r="AC18" s="126"/>
      <c r="AD18" s="126"/>
      <c r="AE18" s="126"/>
      <c r="AF18" s="126"/>
      <c r="AG18" s="126"/>
      <c r="AH18" s="126"/>
    </row>
    <row r="19" spans="1:34" s="127" customFormat="1" ht="15" customHeight="1" x14ac:dyDescent="0.25">
      <c r="A19" s="127" t="str">
        <f>CHARMS!AS$6</f>
        <v/>
      </c>
      <c r="B19" s="188"/>
      <c r="C19" s="151"/>
      <c r="D19" s="152"/>
      <c r="E19" s="152"/>
      <c r="F19" s="153"/>
      <c r="G19" s="154"/>
      <c r="H19" s="152"/>
      <c r="I19" s="153"/>
      <c r="J19" s="155"/>
      <c r="K19" s="156"/>
      <c r="L19" s="130"/>
      <c r="M19" s="126"/>
      <c r="N19" s="126"/>
      <c r="O19" s="126"/>
      <c r="P19" s="126"/>
      <c r="Q19" s="126"/>
      <c r="R19" s="126"/>
      <c r="S19" s="126"/>
      <c r="T19" s="126"/>
      <c r="U19" s="126"/>
      <c r="V19" s="126"/>
      <c r="W19" s="126"/>
      <c r="X19" s="126"/>
      <c r="Y19" s="126"/>
      <c r="Z19" s="126"/>
      <c r="AA19" s="126"/>
      <c r="AB19" s="126"/>
      <c r="AC19" s="126"/>
      <c r="AD19" s="126"/>
      <c r="AE19" s="126"/>
      <c r="AF19" s="126"/>
      <c r="AG19" s="126"/>
      <c r="AH19" s="126"/>
    </row>
    <row r="20" spans="1:34" s="127" customFormat="1" ht="15" customHeight="1" x14ac:dyDescent="0.25">
      <c r="A20" s="127" t="str">
        <f>CHARMS!AV$6</f>
        <v/>
      </c>
      <c r="B20" s="188"/>
      <c r="C20" s="151"/>
      <c r="D20" s="152"/>
      <c r="E20" s="152"/>
      <c r="F20" s="153"/>
      <c r="G20" s="154"/>
      <c r="H20" s="152"/>
      <c r="I20" s="153"/>
      <c r="J20" s="155"/>
      <c r="K20" s="156"/>
      <c r="L20" s="130"/>
      <c r="M20" s="126"/>
      <c r="N20" s="126"/>
      <c r="O20" s="126"/>
      <c r="P20" s="126"/>
      <c r="Q20" s="126"/>
      <c r="R20" s="126"/>
      <c r="S20" s="126"/>
      <c r="T20" s="126"/>
      <c r="U20" s="126"/>
      <c r="V20" s="126"/>
      <c r="W20" s="126"/>
      <c r="X20" s="126"/>
      <c r="Y20" s="126"/>
      <c r="Z20" s="126"/>
      <c r="AA20" s="126"/>
      <c r="AB20" s="126"/>
      <c r="AC20" s="126"/>
      <c r="AD20" s="126"/>
      <c r="AE20" s="126"/>
      <c r="AF20" s="126"/>
      <c r="AG20" s="126"/>
      <c r="AH20" s="126"/>
    </row>
    <row r="21" spans="1:34" s="127" customFormat="1" ht="15" customHeight="1" x14ac:dyDescent="0.25">
      <c r="A21" s="127" t="str">
        <f>CHARMS!AY$6</f>
        <v/>
      </c>
      <c r="B21" s="188"/>
      <c r="C21" s="151"/>
      <c r="D21" s="152"/>
      <c r="E21" s="152"/>
      <c r="F21" s="153"/>
      <c r="G21" s="154"/>
      <c r="H21" s="152"/>
      <c r="I21" s="153"/>
      <c r="J21" s="155"/>
      <c r="K21" s="156"/>
      <c r="L21" s="130"/>
      <c r="M21" s="126"/>
      <c r="N21" s="126"/>
      <c r="O21" s="126"/>
      <c r="P21" s="126"/>
      <c r="Q21" s="126"/>
      <c r="R21" s="126"/>
      <c r="S21" s="126"/>
      <c r="T21" s="126"/>
      <c r="U21" s="126"/>
      <c r="V21" s="126"/>
      <c r="W21" s="126"/>
      <c r="X21" s="126"/>
      <c r="Y21" s="126"/>
      <c r="Z21" s="126"/>
      <c r="AA21" s="126"/>
      <c r="AB21" s="126"/>
      <c r="AC21" s="126"/>
      <c r="AD21" s="126"/>
      <c r="AE21" s="126"/>
      <c r="AF21" s="126"/>
      <c r="AG21" s="126"/>
      <c r="AH21" s="126"/>
    </row>
    <row r="22" spans="1:34" s="127" customFormat="1" ht="15" customHeight="1" x14ac:dyDescent="0.25">
      <c r="A22" s="127" t="str">
        <f>CHARMS!BB$6</f>
        <v/>
      </c>
      <c r="B22" s="188"/>
      <c r="C22" s="151"/>
      <c r="D22" s="152"/>
      <c r="E22" s="152"/>
      <c r="F22" s="153"/>
      <c r="G22" s="154"/>
      <c r="H22" s="152"/>
      <c r="I22" s="153"/>
      <c r="J22" s="155"/>
      <c r="K22" s="156"/>
      <c r="L22" s="130"/>
      <c r="M22" s="126"/>
      <c r="N22" s="126"/>
      <c r="O22" s="126"/>
      <c r="P22" s="126"/>
      <c r="Q22" s="126"/>
      <c r="R22" s="126"/>
      <c r="S22" s="126"/>
      <c r="T22" s="126"/>
      <c r="U22" s="126"/>
      <c r="V22" s="126"/>
      <c r="W22" s="126"/>
      <c r="X22" s="126"/>
      <c r="Y22" s="126"/>
      <c r="Z22" s="126"/>
      <c r="AA22" s="126"/>
      <c r="AB22" s="126"/>
      <c r="AC22" s="126"/>
      <c r="AD22" s="126"/>
      <c r="AE22" s="126"/>
      <c r="AF22" s="126"/>
      <c r="AG22" s="126"/>
      <c r="AH22" s="126"/>
    </row>
    <row r="23" spans="1:34" s="127" customFormat="1" ht="15" customHeight="1" x14ac:dyDescent="0.25">
      <c r="A23" s="127" t="str">
        <f>CHARMS!BE$6</f>
        <v/>
      </c>
      <c r="B23" s="188"/>
      <c r="C23" s="151"/>
      <c r="D23" s="152"/>
      <c r="E23" s="152"/>
      <c r="F23" s="153"/>
      <c r="G23" s="154"/>
      <c r="H23" s="152"/>
      <c r="I23" s="153"/>
      <c r="J23" s="155"/>
      <c r="K23" s="156"/>
      <c r="L23" s="130"/>
      <c r="M23" s="126"/>
      <c r="N23" s="126"/>
      <c r="O23" s="126"/>
      <c r="P23" s="126"/>
      <c r="Q23" s="126"/>
      <c r="R23" s="126"/>
      <c r="S23" s="126"/>
      <c r="T23" s="126"/>
      <c r="U23" s="126"/>
      <c r="V23" s="126"/>
      <c r="W23" s="126"/>
      <c r="X23" s="126"/>
      <c r="Y23" s="126"/>
      <c r="Z23" s="126"/>
      <c r="AA23" s="126"/>
      <c r="AB23" s="126"/>
      <c r="AC23" s="126"/>
      <c r="AD23" s="126"/>
      <c r="AE23" s="126"/>
      <c r="AF23" s="126"/>
      <c r="AG23" s="126"/>
      <c r="AH23" s="126"/>
    </row>
    <row r="24" spans="1:34" s="127" customFormat="1" ht="15" customHeight="1" x14ac:dyDescent="0.25">
      <c r="A24" s="127" t="str">
        <f>CHARMS!BH$6</f>
        <v/>
      </c>
      <c r="B24" s="188"/>
      <c r="C24" s="151"/>
      <c r="D24" s="152"/>
      <c r="E24" s="152"/>
      <c r="F24" s="153"/>
      <c r="G24" s="154"/>
      <c r="H24" s="152"/>
      <c r="I24" s="153"/>
      <c r="J24" s="155"/>
      <c r="K24" s="156"/>
      <c r="L24" s="130"/>
      <c r="M24" s="126"/>
      <c r="N24" s="126"/>
      <c r="O24" s="126"/>
      <c r="P24" s="126"/>
      <c r="Q24" s="126"/>
      <c r="R24" s="126"/>
      <c r="S24" s="126"/>
      <c r="T24" s="126"/>
      <c r="U24" s="126"/>
      <c r="V24" s="126"/>
      <c r="W24" s="126"/>
      <c r="X24" s="126"/>
      <c r="Y24" s="126"/>
      <c r="Z24" s="126"/>
      <c r="AA24" s="126"/>
      <c r="AB24" s="126"/>
      <c r="AC24" s="126"/>
      <c r="AD24" s="126"/>
      <c r="AE24" s="126"/>
      <c r="AF24" s="126"/>
      <c r="AG24" s="126"/>
      <c r="AH24" s="126"/>
    </row>
    <row r="25" spans="1:34" s="127" customFormat="1" ht="15" customHeight="1" x14ac:dyDescent="0.25">
      <c r="A25" s="127" t="str">
        <f>CHARMS!BK$6</f>
        <v/>
      </c>
      <c r="B25" s="188"/>
      <c r="C25" s="151"/>
      <c r="D25" s="152"/>
      <c r="E25" s="152"/>
      <c r="F25" s="153"/>
      <c r="G25" s="154"/>
      <c r="H25" s="152"/>
      <c r="I25" s="153"/>
      <c r="J25" s="155"/>
      <c r="K25" s="156"/>
      <c r="L25" s="130"/>
      <c r="M25" s="126"/>
      <c r="N25" s="126"/>
      <c r="O25" s="126"/>
      <c r="P25" s="126"/>
      <c r="Q25" s="126"/>
      <c r="R25" s="126"/>
      <c r="S25" s="126"/>
      <c r="T25" s="126"/>
      <c r="U25" s="126"/>
      <c r="V25" s="126"/>
      <c r="W25" s="126"/>
      <c r="X25" s="126"/>
      <c r="Y25" s="126"/>
      <c r="Z25" s="126"/>
      <c r="AA25" s="126"/>
      <c r="AB25" s="126"/>
      <c r="AC25" s="126"/>
      <c r="AD25" s="126"/>
      <c r="AE25" s="126"/>
      <c r="AF25" s="126"/>
      <c r="AG25" s="126"/>
      <c r="AH25" s="126"/>
    </row>
    <row r="26" spans="1:34" s="127" customFormat="1" ht="15" customHeight="1" x14ac:dyDescent="0.25">
      <c r="A26" s="127" t="str">
        <f>CHARMS!BN$6</f>
        <v/>
      </c>
      <c r="B26" s="188"/>
      <c r="C26" s="151"/>
      <c r="D26" s="152"/>
      <c r="E26" s="152"/>
      <c r="F26" s="153"/>
      <c r="G26" s="154"/>
      <c r="H26" s="152"/>
      <c r="I26" s="153"/>
      <c r="J26" s="155"/>
      <c r="K26" s="156"/>
      <c r="L26" s="130"/>
      <c r="M26" s="126"/>
      <c r="N26" s="126"/>
      <c r="O26" s="126"/>
      <c r="P26" s="126"/>
      <c r="Q26" s="126"/>
      <c r="R26" s="126"/>
      <c r="S26" s="126"/>
      <c r="T26" s="126"/>
      <c r="U26" s="126"/>
      <c r="V26" s="126"/>
      <c r="W26" s="126"/>
      <c r="X26" s="126"/>
      <c r="Y26" s="126"/>
      <c r="Z26" s="126"/>
      <c r="AA26" s="126"/>
      <c r="AB26" s="126"/>
      <c r="AC26" s="126"/>
      <c r="AD26" s="126"/>
      <c r="AE26" s="126"/>
      <c r="AF26" s="126"/>
      <c r="AG26" s="126"/>
      <c r="AH26" s="126"/>
    </row>
    <row r="27" spans="1:34" s="127" customFormat="1" ht="15" customHeight="1" x14ac:dyDescent="0.25">
      <c r="A27" s="127" t="str">
        <f>CHARMS!BQ$6</f>
        <v/>
      </c>
      <c r="B27" s="188"/>
      <c r="C27" s="151"/>
      <c r="D27" s="152"/>
      <c r="E27" s="152"/>
      <c r="F27" s="153"/>
      <c r="G27" s="154"/>
      <c r="H27" s="152"/>
      <c r="I27" s="153"/>
      <c r="J27" s="155"/>
      <c r="K27" s="156"/>
      <c r="L27" s="130"/>
      <c r="M27" s="126"/>
      <c r="N27" s="126"/>
      <c r="O27" s="126"/>
      <c r="P27" s="126"/>
      <c r="Q27" s="126"/>
      <c r="R27" s="126"/>
      <c r="S27" s="126"/>
      <c r="T27" s="126"/>
      <c r="U27" s="126"/>
      <c r="V27" s="126"/>
      <c r="W27" s="126"/>
      <c r="X27" s="126"/>
      <c r="Y27" s="126"/>
      <c r="Z27" s="126"/>
      <c r="AA27" s="126"/>
      <c r="AB27" s="126"/>
      <c r="AC27" s="126"/>
      <c r="AD27" s="126"/>
      <c r="AE27" s="126"/>
      <c r="AF27" s="126"/>
      <c r="AG27" s="126"/>
      <c r="AH27" s="126"/>
    </row>
    <row r="28" spans="1:34" s="127" customFormat="1" ht="15" customHeight="1" x14ac:dyDescent="0.25">
      <c r="A28" s="127" t="str">
        <f>CHARMS!BT$6</f>
        <v/>
      </c>
      <c r="B28" s="188"/>
      <c r="C28" s="151"/>
      <c r="D28" s="152"/>
      <c r="E28" s="152"/>
      <c r="F28" s="153"/>
      <c r="G28" s="154"/>
      <c r="H28" s="152"/>
      <c r="I28" s="153"/>
      <c r="J28" s="155"/>
      <c r="K28" s="156"/>
      <c r="L28" s="130"/>
      <c r="M28" s="126"/>
      <c r="N28" s="126"/>
      <c r="O28" s="126"/>
      <c r="P28" s="126"/>
      <c r="Q28" s="126"/>
      <c r="R28" s="126"/>
      <c r="S28" s="126"/>
      <c r="T28" s="126"/>
      <c r="U28" s="126"/>
      <c r="V28" s="126"/>
      <c r="W28" s="126"/>
      <c r="X28" s="126"/>
      <c r="Y28" s="126"/>
      <c r="Z28" s="126"/>
      <c r="AA28" s="126"/>
      <c r="AB28" s="126"/>
      <c r="AC28" s="126"/>
      <c r="AD28" s="126"/>
      <c r="AE28" s="126"/>
      <c r="AF28" s="126"/>
      <c r="AG28" s="126"/>
      <c r="AH28" s="126"/>
    </row>
    <row r="29" spans="1:34" s="127" customFormat="1" ht="15" customHeight="1" x14ac:dyDescent="0.25">
      <c r="A29" s="127" t="str">
        <f>CHARMS!BW$6</f>
        <v/>
      </c>
      <c r="B29" s="188"/>
      <c r="C29" s="151"/>
      <c r="D29" s="152"/>
      <c r="E29" s="152"/>
      <c r="F29" s="153"/>
      <c r="G29" s="154"/>
      <c r="H29" s="152"/>
      <c r="I29" s="153"/>
      <c r="J29" s="155"/>
      <c r="K29" s="156"/>
      <c r="L29" s="130"/>
      <c r="M29" s="126"/>
      <c r="N29" s="126"/>
      <c r="O29" s="126"/>
      <c r="P29" s="126"/>
      <c r="Q29" s="126"/>
      <c r="R29" s="126"/>
      <c r="S29" s="126"/>
      <c r="T29" s="126"/>
      <c r="U29" s="126"/>
      <c r="V29" s="126"/>
      <c r="W29" s="126"/>
      <c r="X29" s="126"/>
      <c r="Y29" s="126"/>
      <c r="Z29" s="126"/>
      <c r="AA29" s="126"/>
      <c r="AB29" s="126"/>
      <c r="AC29" s="126"/>
      <c r="AD29" s="126"/>
      <c r="AE29" s="126"/>
      <c r="AF29" s="126"/>
      <c r="AG29" s="126"/>
      <c r="AH29" s="126"/>
    </row>
    <row r="30" spans="1:34" s="127" customFormat="1" ht="15" customHeight="1" x14ac:dyDescent="0.25">
      <c r="A30" s="127" t="str">
        <f>CHARMS!BZ$6</f>
        <v/>
      </c>
      <c r="B30" s="188"/>
      <c r="C30" s="151"/>
      <c r="D30" s="152"/>
      <c r="E30" s="152"/>
      <c r="F30" s="153"/>
      <c r="G30" s="154"/>
      <c r="H30" s="152"/>
      <c r="I30" s="153"/>
      <c r="J30" s="155"/>
      <c r="K30" s="156"/>
      <c r="L30" s="130"/>
      <c r="M30" s="126"/>
      <c r="N30" s="126"/>
      <c r="O30" s="126"/>
      <c r="P30" s="126"/>
      <c r="Q30" s="126"/>
      <c r="R30" s="126"/>
      <c r="S30" s="126"/>
      <c r="T30" s="126"/>
      <c r="U30" s="126"/>
      <c r="V30" s="126"/>
      <c r="W30" s="126"/>
      <c r="X30" s="126"/>
      <c r="Y30" s="126"/>
      <c r="Z30" s="126"/>
      <c r="AA30" s="126"/>
      <c r="AB30" s="126"/>
      <c r="AC30" s="126"/>
      <c r="AD30" s="126"/>
      <c r="AE30" s="126"/>
      <c r="AF30" s="126"/>
      <c r="AG30" s="126"/>
      <c r="AH30" s="126"/>
    </row>
    <row r="31" spans="1:34" s="127" customFormat="1" ht="15" customHeight="1" x14ac:dyDescent="0.25">
      <c r="A31" s="127" t="str">
        <f>CHARMS!CC$6</f>
        <v/>
      </c>
      <c r="B31" s="188"/>
      <c r="C31" s="151"/>
      <c r="D31" s="152"/>
      <c r="E31" s="152"/>
      <c r="F31" s="153"/>
      <c r="G31" s="154"/>
      <c r="H31" s="152"/>
      <c r="I31" s="153"/>
      <c r="J31" s="155"/>
      <c r="K31" s="156"/>
      <c r="L31" s="130"/>
      <c r="M31" s="126"/>
      <c r="N31" s="126"/>
      <c r="O31" s="126"/>
      <c r="P31" s="126"/>
      <c r="Q31" s="126"/>
      <c r="R31" s="126"/>
      <c r="S31" s="126"/>
      <c r="T31" s="126"/>
      <c r="U31" s="126"/>
      <c r="V31" s="126"/>
      <c r="W31" s="126"/>
      <c r="X31" s="126"/>
      <c r="Y31" s="126"/>
      <c r="Z31" s="126"/>
      <c r="AA31" s="126"/>
      <c r="AB31" s="126"/>
      <c r="AC31" s="126"/>
      <c r="AD31" s="126"/>
      <c r="AE31" s="126"/>
      <c r="AF31" s="126"/>
      <c r="AG31" s="126"/>
      <c r="AH31" s="126"/>
    </row>
    <row r="32" spans="1:34" s="127" customFormat="1" ht="15" customHeight="1" x14ac:dyDescent="0.25">
      <c r="A32" s="127" t="str">
        <f>CHARMS!CF$6</f>
        <v/>
      </c>
      <c r="B32" s="188"/>
      <c r="C32" s="151"/>
      <c r="D32" s="152"/>
      <c r="E32" s="152"/>
      <c r="F32" s="153"/>
      <c r="G32" s="154"/>
      <c r="H32" s="152"/>
      <c r="I32" s="153"/>
      <c r="J32" s="155"/>
      <c r="K32" s="156"/>
      <c r="L32" s="130"/>
      <c r="M32" s="126"/>
      <c r="N32" s="126"/>
      <c r="O32" s="126"/>
      <c r="P32" s="126"/>
      <c r="Q32" s="126"/>
      <c r="R32" s="126"/>
      <c r="S32" s="126"/>
      <c r="T32" s="126"/>
      <c r="U32" s="126"/>
      <c r="V32" s="126"/>
      <c r="W32" s="126"/>
      <c r="X32" s="126"/>
      <c r="Y32" s="126"/>
      <c r="Z32" s="126"/>
      <c r="AA32" s="126"/>
      <c r="AB32" s="126"/>
      <c r="AC32" s="126"/>
      <c r="AD32" s="126"/>
      <c r="AE32" s="126"/>
      <c r="AF32" s="126"/>
      <c r="AG32" s="126"/>
      <c r="AH32" s="126"/>
    </row>
    <row r="33" spans="1:34" s="127" customFormat="1" ht="15" customHeight="1" x14ac:dyDescent="0.25">
      <c r="A33" s="127" t="str">
        <f>CHARMS!CI$6</f>
        <v/>
      </c>
      <c r="B33" s="188"/>
      <c r="C33" s="151"/>
      <c r="D33" s="152"/>
      <c r="E33" s="152"/>
      <c r="F33" s="153"/>
      <c r="G33" s="154"/>
      <c r="H33" s="152"/>
      <c r="I33" s="153"/>
      <c r="J33" s="155"/>
      <c r="K33" s="156"/>
      <c r="L33" s="130"/>
      <c r="M33" s="126"/>
      <c r="N33" s="126"/>
      <c r="O33" s="126"/>
      <c r="P33" s="126"/>
      <c r="Q33" s="126"/>
      <c r="R33" s="126"/>
      <c r="S33" s="126"/>
      <c r="T33" s="126"/>
      <c r="U33" s="126"/>
      <c r="V33" s="126"/>
      <c r="W33" s="126"/>
      <c r="X33" s="126"/>
      <c r="Y33" s="126"/>
      <c r="Z33" s="126"/>
      <c r="AA33" s="126"/>
      <c r="AB33" s="126"/>
      <c r="AC33" s="126"/>
      <c r="AD33" s="126"/>
      <c r="AE33" s="126"/>
      <c r="AF33" s="126"/>
      <c r="AG33" s="126"/>
      <c r="AH33" s="126"/>
    </row>
    <row r="34" spans="1:34" s="127" customFormat="1" ht="15" customHeight="1" x14ac:dyDescent="0.25">
      <c r="A34" s="127" t="str">
        <f>CHARMS!CL$6</f>
        <v/>
      </c>
      <c r="B34" s="188"/>
      <c r="C34" s="151"/>
      <c r="D34" s="152"/>
      <c r="E34" s="152"/>
      <c r="F34" s="153"/>
      <c r="G34" s="154"/>
      <c r="H34" s="152"/>
      <c r="I34" s="153"/>
      <c r="J34" s="155"/>
      <c r="K34" s="156"/>
      <c r="L34" s="130"/>
      <c r="M34" s="126"/>
      <c r="N34" s="126"/>
      <c r="O34" s="126"/>
      <c r="P34" s="126"/>
      <c r="Q34" s="126"/>
      <c r="R34" s="126"/>
      <c r="S34" s="126"/>
      <c r="T34" s="126"/>
      <c r="U34" s="126"/>
      <c r="V34" s="126"/>
      <c r="W34" s="126"/>
      <c r="X34" s="126"/>
      <c r="Y34" s="126"/>
      <c r="Z34" s="126"/>
      <c r="AA34" s="126"/>
      <c r="AB34" s="126"/>
      <c r="AC34" s="126"/>
      <c r="AD34" s="126"/>
      <c r="AE34" s="126"/>
      <c r="AF34" s="126"/>
      <c r="AG34" s="126"/>
      <c r="AH34" s="126"/>
    </row>
    <row r="35" spans="1:34" s="127" customFormat="1" ht="15" customHeight="1" x14ac:dyDescent="0.25">
      <c r="A35" s="127" t="str">
        <f>CHARMS!CO$6</f>
        <v/>
      </c>
      <c r="B35" s="189"/>
      <c r="C35" s="158"/>
      <c r="D35" s="159"/>
      <c r="E35" s="159"/>
      <c r="F35" s="160"/>
      <c r="G35" s="161"/>
      <c r="H35" s="159"/>
      <c r="I35" s="160"/>
      <c r="J35" s="162"/>
      <c r="K35" s="163"/>
      <c r="L35" s="130"/>
      <c r="M35" s="124"/>
      <c r="N35" s="124"/>
      <c r="O35" s="124"/>
      <c r="P35" s="124"/>
      <c r="Q35" s="124"/>
      <c r="R35" s="124"/>
      <c r="S35" s="124"/>
      <c r="T35" s="124"/>
      <c r="U35" s="124"/>
      <c r="V35" s="124"/>
      <c r="W35" s="124"/>
      <c r="X35" s="124"/>
      <c r="Y35" s="124"/>
      <c r="Z35" s="124"/>
      <c r="AA35" s="124"/>
      <c r="AB35" s="124"/>
      <c r="AC35" s="124"/>
      <c r="AD35" s="124"/>
      <c r="AE35" s="124"/>
      <c r="AF35" s="124"/>
      <c r="AG35" s="124"/>
      <c r="AH35" s="124"/>
    </row>
    <row r="36" spans="1:34" s="126" customFormat="1" ht="12" x14ac:dyDescent="0.25">
      <c r="B36" s="164"/>
      <c r="C36" s="164"/>
      <c r="D36" s="164"/>
      <c r="E36" s="164"/>
      <c r="F36" s="164"/>
      <c r="G36" s="164"/>
      <c r="H36" s="164"/>
      <c r="I36" s="164"/>
      <c r="J36" s="164"/>
      <c r="K36" s="164"/>
      <c r="L36" s="130"/>
    </row>
    <row r="37" spans="1:34" s="126" customFormat="1" ht="15" customHeight="1" x14ac:dyDescent="0.25">
      <c r="B37" s="164"/>
      <c r="C37" s="157">
        <f>COUNTIF(C$6:C$35,"+")/SUM(COUNTIF(C$6:C$35,"+"),COUNTIF(C$6:C$35,"-"),30-COUNTIF(C$6:C$35,"")-SUM(COUNTIF(C$6:C$35,"+"),COUNTIF(C$6:C$35,"-")))</f>
        <v>0.66666666666666663</v>
      </c>
      <c r="D37" s="157">
        <f t="shared" ref="D37:J37" si="2">COUNTIF(D$6:D$35,"+")/SUM(COUNTIF(D$6:D$35,"+"),COUNTIF(D$6:D$35,"-"),30-COUNTIF(D$6:D$35,"")-SUM(COUNTIF(D$6:D$35,"+"),COUNTIF(D$6:D$35,"-")))</f>
        <v>0.55555555555555558</v>
      </c>
      <c r="E37" s="157">
        <f t="shared" si="2"/>
        <v>0.66666666666666663</v>
      </c>
      <c r="F37" s="157">
        <f t="shared" si="2"/>
        <v>0</v>
      </c>
      <c r="G37" s="157">
        <f t="shared" si="2"/>
        <v>0.55555555555555558</v>
      </c>
      <c r="H37" s="157">
        <f t="shared" si="2"/>
        <v>0.55555555555555558</v>
      </c>
      <c r="I37" s="157">
        <f t="shared" si="2"/>
        <v>0.66666666666666663</v>
      </c>
      <c r="J37" s="157">
        <f t="shared" si="2"/>
        <v>0</v>
      </c>
      <c r="K37" s="157">
        <f>COUNTIF(K$6:K$35,"+")/SUM(COUNTIF(K$6:K$35,"+"),COUNTIF(K$6:K$35,"-"),30-COUNTIF(K$6:K$35,"")-SUM(COUNTIF(K$6:K$35,"+"),COUNTIF(K$6:K$35,"-")))</f>
        <v>0.44444444444444442</v>
      </c>
      <c r="L37" s="210"/>
    </row>
    <row r="38" spans="1:34" s="126" customFormat="1" ht="15" customHeight="1" x14ac:dyDescent="0.25">
      <c r="B38" s="164"/>
      <c r="C38" s="157">
        <f t="shared" ref="C38:J38" si="3">COUNTIF(C$6:C$35,"-")/SUM(COUNTIF(C$6:C$35,"+"),COUNTIF(C$6:C$35,"-"),30-COUNTIF(C$6:C$35,"")-SUM(COUNTIF(C$6:C$35,"+"),COUNTIF(C$6:C$35,"-")))</f>
        <v>0</v>
      </c>
      <c r="D38" s="157">
        <f t="shared" si="3"/>
        <v>0.1111111111111111</v>
      </c>
      <c r="E38" s="157">
        <f t="shared" si="3"/>
        <v>0</v>
      </c>
      <c r="F38" s="157">
        <f t="shared" si="3"/>
        <v>0.88888888888888884</v>
      </c>
      <c r="G38" s="157">
        <f t="shared" si="3"/>
        <v>0.1111111111111111</v>
      </c>
      <c r="H38" s="157">
        <f t="shared" si="3"/>
        <v>0.1111111111111111</v>
      </c>
      <c r="I38" s="157">
        <f t="shared" si="3"/>
        <v>0</v>
      </c>
      <c r="J38" s="157">
        <f t="shared" si="3"/>
        <v>0.88888888888888884</v>
      </c>
      <c r="K38" s="157">
        <f>COUNTIF(K$6:K$35,"-")/SUM(COUNTIF(K$6:K$35,"+"),COUNTIF(K$6:K$35,"-"),30-COUNTIF(K$6:K$35,"")-SUM(COUNTIF(K$6:K$35,"+"),COUNTIF(K$6:K$35,"-")))</f>
        <v>0.22222222222222221</v>
      </c>
      <c r="L38" s="210"/>
    </row>
    <row r="39" spans="1:34" x14ac:dyDescent="0.3">
      <c r="B39" s="165"/>
      <c r="C39" s="157">
        <f t="shared" ref="C39:J39" si="4">1-C38-C37</f>
        <v>0.33333333333333337</v>
      </c>
      <c r="D39" s="157">
        <f t="shared" si="4"/>
        <v>0.33333333333333326</v>
      </c>
      <c r="E39" s="157">
        <f t="shared" si="4"/>
        <v>0.33333333333333337</v>
      </c>
      <c r="F39" s="157">
        <f t="shared" si="4"/>
        <v>0.11111111111111116</v>
      </c>
      <c r="G39" s="157">
        <f t="shared" si="4"/>
        <v>0.33333333333333326</v>
      </c>
      <c r="H39" s="157">
        <f t="shared" si="4"/>
        <v>0.33333333333333326</v>
      </c>
      <c r="I39" s="157">
        <f t="shared" si="4"/>
        <v>0.33333333333333337</v>
      </c>
      <c r="J39" s="157">
        <f t="shared" si="4"/>
        <v>0.11111111111111116</v>
      </c>
      <c r="K39" s="157">
        <f>1-K38-K37</f>
        <v>0.33333333333333337</v>
      </c>
    </row>
    <row r="40" spans="1:34" x14ac:dyDescent="0.3">
      <c r="B40" s="165"/>
      <c r="C40" s="165"/>
      <c r="D40" s="165"/>
      <c r="E40" s="165"/>
      <c r="F40" s="165"/>
      <c r="G40" s="165"/>
      <c r="H40" s="165"/>
      <c r="I40" s="165"/>
      <c r="J40" s="165"/>
      <c r="K40" s="165"/>
    </row>
    <row r="41" spans="1:34" x14ac:dyDescent="0.3">
      <c r="B41" s="165"/>
      <c r="C41" s="165"/>
      <c r="D41" s="165"/>
      <c r="E41" s="165"/>
      <c r="F41" s="165"/>
      <c r="G41" s="165"/>
      <c r="H41" s="165"/>
      <c r="I41" s="165"/>
      <c r="J41" s="165"/>
      <c r="K41" s="165"/>
    </row>
  </sheetData>
  <mergeCells count="5">
    <mergeCell ref="J4:K4"/>
    <mergeCell ref="C4:F4"/>
    <mergeCell ref="G4:I4"/>
    <mergeCell ref="B4:B5"/>
    <mergeCell ref="B3:K3"/>
  </mergeCells>
  <conditionalFormatting sqref="B6:B35">
    <cfRule type="cellIs" dxfId="6" priority="3" operator="equal">
      <formula>0</formula>
    </cfRule>
  </conditionalFormatting>
  <conditionalFormatting sqref="B6:K35">
    <cfRule type="expression" dxfId="5" priority="1">
      <formula>$A6&lt;&gt;""</formula>
    </cfRule>
    <cfRule type="expression" dxfId="4" priority="2">
      <formula>$A6=""</formula>
    </cfRule>
  </conditionalFormatting>
  <conditionalFormatting sqref="C6:K35">
    <cfRule type="cellIs" dxfId="3" priority="4" operator="equal">
      <formula>"?"</formula>
    </cfRule>
    <cfRule type="cellIs" dxfId="2" priority="5" operator="equal">
      <formula>"+"</formula>
    </cfRule>
    <cfRule type="cellIs" dxfId="1" priority="6" operator="equal">
      <formula>"-"</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061D2-8488-462F-AC9B-4F69EC058080}">
  <sheetPr codeName="Hoja7">
    <tabColor theme="7" tint="0.79998168889431442"/>
  </sheetPr>
  <dimension ref="A1:K30"/>
  <sheetViews>
    <sheetView workbookViewId="0">
      <selection activeCell="G15" sqref="G15"/>
    </sheetView>
  </sheetViews>
  <sheetFormatPr defaultColWidth="11.44140625" defaultRowHeight="14.4" x14ac:dyDescent="0.3"/>
  <cols>
    <col min="1" max="11" width="28.5546875" style="177" customWidth="1"/>
    <col min="12" max="13" width="21.44140625" style="177" customWidth="1"/>
    <col min="14" max="16384" width="11.44140625" style="177"/>
  </cols>
  <sheetData>
    <row r="1" spans="1:11" ht="15.75" customHeight="1" x14ac:dyDescent="0.3">
      <c r="A1" s="181" t="s">
        <v>314</v>
      </c>
      <c r="B1" s="181"/>
    </row>
    <row r="2" spans="1:11" ht="15.75" customHeight="1" x14ac:dyDescent="0.3"/>
    <row r="3" spans="1:11" ht="15.75" customHeight="1" x14ac:dyDescent="0.3">
      <c r="A3" s="178" t="s">
        <v>279</v>
      </c>
      <c r="B3" s="178"/>
      <c r="C3" s="178"/>
      <c r="D3" s="178"/>
      <c r="E3" s="178"/>
      <c r="F3" s="178"/>
      <c r="G3" s="178"/>
      <c r="H3" s="178"/>
      <c r="I3" s="178"/>
      <c r="J3" s="178"/>
      <c r="K3" s="178"/>
    </row>
    <row r="4" spans="1:11" ht="47.25" customHeight="1" x14ac:dyDescent="0.3">
      <c r="A4" s="180" t="s">
        <v>43</v>
      </c>
      <c r="B4" s="180" t="s">
        <v>280</v>
      </c>
      <c r="C4" s="180" t="s">
        <v>84</v>
      </c>
      <c r="D4" s="180" t="s">
        <v>107</v>
      </c>
      <c r="E4" s="180" t="s">
        <v>110</v>
      </c>
      <c r="F4" s="180" t="s">
        <v>281</v>
      </c>
      <c r="G4" s="180" t="s">
        <v>117</v>
      </c>
      <c r="H4" s="180" t="s">
        <v>154</v>
      </c>
      <c r="I4" s="180" t="s">
        <v>158</v>
      </c>
      <c r="J4" s="180" t="s">
        <v>164</v>
      </c>
      <c r="K4" s="180" t="s">
        <v>168</v>
      </c>
    </row>
    <row r="5" spans="1:11" ht="15.75" customHeight="1" x14ac:dyDescent="0.3">
      <c r="A5" s="179" t="s">
        <v>282</v>
      </c>
      <c r="B5" s="179" t="s">
        <v>283</v>
      </c>
      <c r="C5" s="179" t="s">
        <v>85</v>
      </c>
      <c r="D5" s="179" t="s">
        <v>108</v>
      </c>
      <c r="E5" s="179" t="s">
        <v>112</v>
      </c>
      <c r="F5" s="179" t="s">
        <v>284</v>
      </c>
      <c r="G5" s="179" t="s">
        <v>285</v>
      </c>
      <c r="H5" s="179" t="s">
        <v>156</v>
      </c>
      <c r="I5" s="179" t="s">
        <v>159</v>
      </c>
      <c r="J5" s="179" t="s">
        <v>159</v>
      </c>
      <c r="K5" s="179" t="s">
        <v>159</v>
      </c>
    </row>
    <row r="6" spans="1:11" ht="15.75" customHeight="1" x14ac:dyDescent="0.3">
      <c r="A6" s="179" t="s">
        <v>45</v>
      </c>
      <c r="B6" s="179" t="s">
        <v>69</v>
      </c>
      <c r="C6" s="179" t="s">
        <v>286</v>
      </c>
      <c r="D6" s="179" t="s">
        <v>287</v>
      </c>
      <c r="E6" s="179" t="s">
        <v>288</v>
      </c>
      <c r="F6" s="179" t="s">
        <v>116</v>
      </c>
      <c r="G6" s="179" t="s">
        <v>119</v>
      </c>
      <c r="H6" s="179" t="s">
        <v>155</v>
      </c>
      <c r="I6" s="179" t="s">
        <v>289</v>
      </c>
      <c r="J6" s="179" t="s">
        <v>166</v>
      </c>
      <c r="K6" s="179" t="s">
        <v>290</v>
      </c>
    </row>
    <row r="7" spans="1:11" ht="15.75" customHeight="1" x14ac:dyDescent="0.3">
      <c r="A7" s="179" t="s">
        <v>291</v>
      </c>
      <c r="B7" s="179" t="s">
        <v>292</v>
      </c>
      <c r="C7" s="179" t="s">
        <v>58</v>
      </c>
      <c r="D7" s="179" t="s">
        <v>293</v>
      </c>
      <c r="E7" s="179" t="s">
        <v>294</v>
      </c>
      <c r="F7" s="179" t="s">
        <v>114</v>
      </c>
      <c r="G7" s="179" t="s">
        <v>295</v>
      </c>
      <c r="H7" s="179" t="s">
        <v>296</v>
      </c>
      <c r="I7" s="179" t="s">
        <v>160</v>
      </c>
      <c r="J7" s="179" t="s">
        <v>165</v>
      </c>
      <c r="K7" s="179" t="s">
        <v>170</v>
      </c>
    </row>
    <row r="8" spans="1:11" ht="15.75" customHeight="1" x14ac:dyDescent="0.3">
      <c r="A8" s="179" t="s">
        <v>297</v>
      </c>
      <c r="B8" s="179" t="s">
        <v>68</v>
      </c>
      <c r="C8" s="179" t="s">
        <v>50</v>
      </c>
      <c r="D8" s="179" t="s">
        <v>76</v>
      </c>
      <c r="E8" s="179" t="s">
        <v>298</v>
      </c>
      <c r="F8" s="179" t="s">
        <v>76</v>
      </c>
      <c r="G8" s="179" t="s">
        <v>118</v>
      </c>
      <c r="H8" s="179" t="s">
        <v>299</v>
      </c>
      <c r="I8" s="179" t="s">
        <v>300</v>
      </c>
      <c r="J8" s="179" t="s">
        <v>58</v>
      </c>
      <c r="K8" s="179" t="s">
        <v>301</v>
      </c>
    </row>
    <row r="9" spans="1:11" ht="15.75" customHeight="1" x14ac:dyDescent="0.3">
      <c r="A9" s="179" t="s">
        <v>44</v>
      </c>
      <c r="B9" s="179" t="s">
        <v>302</v>
      </c>
      <c r="C9" s="182" t="s">
        <v>303</v>
      </c>
      <c r="D9" s="182" t="s">
        <v>58</v>
      </c>
      <c r="E9" s="182" t="s">
        <v>304</v>
      </c>
      <c r="F9" s="182" t="s">
        <v>58</v>
      </c>
      <c r="G9" s="182" t="s">
        <v>305</v>
      </c>
      <c r="H9" s="179" t="s">
        <v>157</v>
      </c>
      <c r="I9" s="179" t="s">
        <v>306</v>
      </c>
      <c r="J9" s="179" t="s">
        <v>50</v>
      </c>
      <c r="K9" s="179" t="s">
        <v>169</v>
      </c>
    </row>
    <row r="10" spans="1:11" ht="15.75" customHeight="1" x14ac:dyDescent="0.3">
      <c r="A10" s="179" t="s">
        <v>307</v>
      </c>
      <c r="B10" s="179" t="s">
        <v>71</v>
      </c>
      <c r="C10" s="182" t="s">
        <v>303</v>
      </c>
      <c r="D10" s="182" t="s">
        <v>50</v>
      </c>
      <c r="E10" s="182" t="s">
        <v>76</v>
      </c>
      <c r="F10" s="182" t="s">
        <v>50</v>
      </c>
      <c r="G10" s="182" t="s">
        <v>308</v>
      </c>
      <c r="H10" s="179" t="s">
        <v>76</v>
      </c>
      <c r="I10" s="179" t="s">
        <v>309</v>
      </c>
      <c r="J10" s="182" t="s">
        <v>359</v>
      </c>
      <c r="K10" s="179" t="s">
        <v>310</v>
      </c>
    </row>
    <row r="11" spans="1:11" ht="15.75" customHeight="1" x14ac:dyDescent="0.3">
      <c r="A11" s="179" t="s">
        <v>311</v>
      </c>
      <c r="B11" s="179" t="s">
        <v>76</v>
      </c>
      <c r="C11" s="182" t="s">
        <v>303</v>
      </c>
      <c r="D11" s="182" t="s">
        <v>303</v>
      </c>
      <c r="E11" s="182" t="s">
        <v>58</v>
      </c>
      <c r="F11" s="182" t="s">
        <v>115</v>
      </c>
      <c r="G11" s="182" t="s">
        <v>120</v>
      </c>
      <c r="H11" s="179" t="s">
        <v>58</v>
      </c>
      <c r="I11" s="179" t="s">
        <v>76</v>
      </c>
      <c r="J11" s="182" t="s">
        <v>303</v>
      </c>
      <c r="K11" s="179" t="s">
        <v>312</v>
      </c>
    </row>
    <row r="12" spans="1:11" ht="15.75" customHeight="1" x14ac:dyDescent="0.3">
      <c r="A12" s="179" t="s">
        <v>313</v>
      </c>
      <c r="B12" s="179" t="s">
        <v>58</v>
      </c>
      <c r="C12" s="182" t="s">
        <v>303</v>
      </c>
      <c r="D12" s="182" t="s">
        <v>303</v>
      </c>
      <c r="E12" s="182" t="s">
        <v>50</v>
      </c>
      <c r="F12" s="182" t="s">
        <v>303</v>
      </c>
      <c r="G12" s="179" t="s">
        <v>76</v>
      </c>
      <c r="H12" s="179" t="s">
        <v>50</v>
      </c>
      <c r="I12" s="179" t="s">
        <v>58</v>
      </c>
      <c r="J12" s="182" t="s">
        <v>303</v>
      </c>
      <c r="K12" s="179" t="s">
        <v>76</v>
      </c>
    </row>
    <row r="13" spans="1:11" ht="15.75" customHeight="1" x14ac:dyDescent="0.3">
      <c r="A13" s="179" t="s">
        <v>76</v>
      </c>
      <c r="B13" s="179" t="s">
        <v>50</v>
      </c>
      <c r="C13" s="182" t="s">
        <v>303</v>
      </c>
      <c r="D13" s="182" t="s">
        <v>303</v>
      </c>
      <c r="E13" s="182" t="s">
        <v>111</v>
      </c>
      <c r="F13" s="182" t="s">
        <v>303</v>
      </c>
      <c r="G13" s="182" t="s">
        <v>58</v>
      </c>
      <c r="H13" s="182" t="s">
        <v>303</v>
      </c>
      <c r="I13" s="179" t="s">
        <v>50</v>
      </c>
      <c r="J13" s="182" t="s">
        <v>303</v>
      </c>
      <c r="K13" s="179" t="s">
        <v>58</v>
      </c>
    </row>
    <row r="14" spans="1:11" ht="15.75" customHeight="1" x14ac:dyDescent="0.3">
      <c r="A14" s="179" t="s">
        <v>58</v>
      </c>
      <c r="B14" s="182" t="s">
        <v>303</v>
      </c>
      <c r="C14" s="2"/>
      <c r="D14" s="182" t="s">
        <v>303</v>
      </c>
      <c r="E14" s="182" t="s">
        <v>345</v>
      </c>
      <c r="F14" s="182"/>
      <c r="G14" s="182" t="s">
        <v>50</v>
      </c>
      <c r="H14" s="182"/>
      <c r="I14" s="182"/>
      <c r="J14" s="182" t="s">
        <v>303</v>
      </c>
      <c r="K14" s="179" t="s">
        <v>50</v>
      </c>
    </row>
    <row r="15" spans="1:11" ht="15.75" customHeight="1" x14ac:dyDescent="0.3">
      <c r="A15" s="179" t="s">
        <v>50</v>
      </c>
      <c r="B15" s="182" t="s">
        <v>303</v>
      </c>
      <c r="C15" s="2"/>
      <c r="D15" s="182" t="s">
        <v>303</v>
      </c>
      <c r="E15" s="182" t="s">
        <v>344</v>
      </c>
      <c r="F15" s="182"/>
      <c r="G15" s="182"/>
      <c r="H15" s="182" t="s">
        <v>303</v>
      </c>
      <c r="I15" s="182" t="s">
        <v>303</v>
      </c>
      <c r="J15" s="2"/>
      <c r="K15" s="182" t="s">
        <v>303</v>
      </c>
    </row>
    <row r="16" spans="1:11" ht="15.75" customHeight="1" x14ac:dyDescent="0.3">
      <c r="A16" s="182" t="s">
        <v>303</v>
      </c>
      <c r="B16" s="182" t="s">
        <v>303</v>
      </c>
      <c r="C16" s="2"/>
      <c r="D16" s="2"/>
      <c r="E16" s="182" t="s">
        <v>366</v>
      </c>
      <c r="F16" s="2"/>
      <c r="G16" s="182" t="s">
        <v>303</v>
      </c>
      <c r="H16" s="182" t="s">
        <v>303</v>
      </c>
      <c r="I16" s="182" t="s">
        <v>303</v>
      </c>
      <c r="J16" s="2"/>
      <c r="K16" s="182" t="s">
        <v>303</v>
      </c>
    </row>
    <row r="17" spans="1:11" ht="15.75" customHeight="1" x14ac:dyDescent="0.3">
      <c r="A17" s="182" t="s">
        <v>303</v>
      </c>
      <c r="B17" s="182" t="s">
        <v>303</v>
      </c>
      <c r="C17" s="2"/>
      <c r="D17" s="2"/>
      <c r="E17" s="182" t="s">
        <v>303</v>
      </c>
      <c r="F17" s="2"/>
      <c r="G17" s="182" t="s">
        <v>303</v>
      </c>
      <c r="H17" s="182" t="s">
        <v>303</v>
      </c>
      <c r="I17" s="182" t="s">
        <v>303</v>
      </c>
      <c r="J17" s="2"/>
      <c r="K17" s="182" t="s">
        <v>303</v>
      </c>
    </row>
    <row r="18" spans="1:11" ht="15.75" customHeight="1" x14ac:dyDescent="0.3">
      <c r="A18" s="182" t="s">
        <v>303</v>
      </c>
      <c r="B18" s="182" t="s">
        <v>303</v>
      </c>
      <c r="C18" s="2"/>
      <c r="D18" s="2"/>
      <c r="E18" s="2"/>
      <c r="F18" s="2"/>
      <c r="G18" s="182" t="s">
        <v>303</v>
      </c>
      <c r="H18" s="2"/>
      <c r="I18" s="182" t="s">
        <v>303</v>
      </c>
      <c r="J18" s="2"/>
      <c r="K18" s="182" t="s">
        <v>303</v>
      </c>
    </row>
    <row r="19" spans="1:11" ht="15.75" customHeight="1" x14ac:dyDescent="0.3">
      <c r="A19" s="182" t="s">
        <v>303</v>
      </c>
      <c r="B19" s="183"/>
      <c r="C19" s="2"/>
      <c r="D19" s="2"/>
      <c r="E19" s="2"/>
      <c r="F19" s="2"/>
      <c r="G19" s="182" t="s">
        <v>303</v>
      </c>
      <c r="H19" s="2"/>
      <c r="I19" s="2"/>
      <c r="J19" s="2"/>
      <c r="K19" s="182" t="s">
        <v>303</v>
      </c>
    </row>
    <row r="20" spans="1:11" ht="15.75" customHeight="1" x14ac:dyDescent="0.3">
      <c r="A20" s="182" t="s">
        <v>303</v>
      </c>
      <c r="B20" s="183"/>
      <c r="C20" s="2"/>
      <c r="D20" s="2"/>
      <c r="E20" s="2"/>
      <c r="F20" s="2"/>
      <c r="G20" s="2"/>
      <c r="H20" s="2"/>
      <c r="I20" s="2"/>
      <c r="J20" s="2"/>
      <c r="K20" s="2"/>
    </row>
    <row r="21" spans="1:11" ht="15.75" customHeight="1" x14ac:dyDescent="0.3">
      <c r="A21" s="35"/>
      <c r="B21" s="35"/>
    </row>
    <row r="22" spans="1:11" ht="15.75" customHeight="1" x14ac:dyDescent="0.3">
      <c r="A22" s="35"/>
      <c r="B22" s="35"/>
    </row>
    <row r="23" spans="1:11" ht="15.75" customHeight="1" x14ac:dyDescent="0.3">
      <c r="A23" s="35"/>
      <c r="B23" s="35"/>
    </row>
    <row r="24" spans="1:11" ht="15.75" customHeight="1" x14ac:dyDescent="0.3">
      <c r="A24" s="35"/>
      <c r="B24" s="35"/>
    </row>
    <row r="25" spans="1:11" ht="15.75" customHeight="1" x14ac:dyDescent="0.3">
      <c r="A25" s="35"/>
      <c r="B25" s="35"/>
    </row>
    <row r="26" spans="1:11" ht="15.75" customHeight="1" x14ac:dyDescent="0.3">
      <c r="A26" s="35"/>
      <c r="B26" s="35"/>
    </row>
    <row r="27" spans="1:11" ht="15.75" customHeight="1" x14ac:dyDescent="0.3">
      <c r="A27" s="35"/>
      <c r="B27" s="35"/>
    </row>
    <row r="28" spans="1:11" ht="15.75" customHeight="1" x14ac:dyDescent="0.3">
      <c r="A28" s="35"/>
      <c r="B28" s="35"/>
    </row>
    <row r="29" spans="1:11" ht="15.75" customHeight="1" x14ac:dyDescent="0.3">
      <c r="A29" s="35"/>
      <c r="B29" s="35"/>
    </row>
    <row r="30" spans="1:11" ht="15.75" customHeight="1" x14ac:dyDescent="0.3">
      <c r="A30" s="35"/>
      <c r="B30" s="35"/>
    </row>
  </sheetData>
  <conditionalFormatting sqref="A5:K20">
    <cfRule type="cellIs" dxfId="0" priority="1" operator="equal">
      <formula>"(Add field)"</formula>
    </cfRule>
  </conditionalFormatting>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D9E1685CA03ED48826C047F6C774DBC" ma:contentTypeVersion="4" ma:contentTypeDescription="Crear nuevo documento." ma:contentTypeScope="" ma:versionID="61a7bf931ee0c0ed87a6196b75be45eb">
  <xsd:schema xmlns:xsd="http://www.w3.org/2001/XMLSchema" xmlns:xs="http://www.w3.org/2001/XMLSchema" xmlns:p="http://schemas.microsoft.com/office/2006/metadata/properties" xmlns:ns2="ae1d1468-2b29-4b51-8809-6bac28721d06" targetNamespace="http://schemas.microsoft.com/office/2006/metadata/properties" ma:root="true" ma:fieldsID="7f6e793b0077c1eb41342dbed7d6f391" ns2:_="">
    <xsd:import namespace="ae1d1468-2b29-4b51-8809-6bac28721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d1468-2b29-4b51-8809-6bac28721d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1B6744-8ABE-4CAA-BDFE-1DB2AEA1D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d1468-2b29-4b51-8809-6bac28721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C75C99-1C92-4261-9CD0-BA06D6BB2C18}">
  <ds:schemaRefs>
    <ds:schemaRef ds:uri="http://schemas.microsoft.com/sharepoint/v3/contenttype/forms"/>
  </ds:schemaRefs>
</ds:datastoreItem>
</file>

<file path=customXml/itemProps3.xml><?xml version="1.0" encoding="utf-8"?>
<ds:datastoreItem xmlns:ds="http://schemas.openxmlformats.org/officeDocument/2006/customXml" ds:itemID="{F39A5D6B-EC2E-4F49-BA55-D4DCBE319A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HOME</vt:lpstr>
      <vt:lpstr>SUMMARY</vt:lpstr>
      <vt:lpstr>CHARMS</vt:lpstr>
      <vt:lpstr>PROBAST</vt:lpstr>
      <vt:lpstr>Study Characteristics</vt:lpstr>
      <vt:lpstr>Model characteristics</vt:lpstr>
      <vt:lpstr>PROBAST summary</vt:lpstr>
      <vt:lpstr>CHARMS.Drop-down response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Borja Fernandez</dc:creator>
  <cp:keywords/>
  <dc:description/>
  <cp:lastModifiedBy>mana mahdavi</cp:lastModifiedBy>
  <cp:revision/>
  <dcterms:created xsi:type="dcterms:W3CDTF">2019-06-28T08:05:43Z</dcterms:created>
  <dcterms:modified xsi:type="dcterms:W3CDTF">2024-05-30T11:45:52Z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0x0101005D9E1685CA03ED48826C047F6C774DBC</vt:lpwstr>
  </property>
</Properties>
</file>