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codeName="ThisWorkbook"/>
  <mc:AlternateContent xmlns:mc="http://schemas.openxmlformats.org/markup-compatibility/2006">
    <mc:Choice Requires="x15">
      <x15ac:absPath xmlns:x15ac="http://schemas.microsoft.com/office/spreadsheetml/2010/11/ac" url="C:\Users\Borja Fernandez\Desktop\"/>
    </mc:Choice>
  </mc:AlternateContent>
  <xr:revisionPtr revIDLastSave="0" documentId="13_ncr:1_{8CCE610E-8520-421B-AD94-C86168F42207}" xr6:coauthVersionLast="37" xr6:coauthVersionMax="47" xr10:uidLastSave="{00000000-0000-0000-0000-000000000000}"/>
  <bookViews>
    <workbookView xWindow="0" yWindow="0" windowWidth="28800" windowHeight="12825" tabRatio="787" xr2:uid="{00000000-000D-0000-FFFF-FFFF00000000}"/>
  </bookViews>
  <sheets>
    <sheet name="HOME" sheetId="6" r:id="rId1"/>
    <sheet name="SUMMARY" sheetId="9" r:id="rId2"/>
    <sheet name="CHARMS" sheetId="5" r:id="rId3"/>
    <sheet name="PROBAST" sheetId="7" r:id="rId4"/>
    <sheet name="Study Characteristics" sheetId="1" r:id="rId5"/>
    <sheet name="Model characteristics" sheetId="10" r:id="rId6"/>
    <sheet name="PROBAST summary" sheetId="8" r:id="rId7"/>
    <sheet name="CHARMS.Drop-down response lists" sheetId="11" r:id="rId8"/>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6" i="9" l="1"/>
  <c r="I35" i="9"/>
  <c r="I34" i="9"/>
  <c r="I33" i="9"/>
  <c r="I32" i="9"/>
  <c r="I31" i="9"/>
  <c r="I30" i="9"/>
  <c r="I29" i="9"/>
  <c r="I28" i="9"/>
  <c r="I27" i="9"/>
  <c r="I26" i="9"/>
  <c r="I25" i="9"/>
  <c r="I24" i="9"/>
  <c r="I23" i="9"/>
  <c r="I22" i="9"/>
  <c r="I21" i="9"/>
  <c r="I20" i="9"/>
  <c r="I19" i="9"/>
  <c r="I18" i="9"/>
  <c r="I17" i="9"/>
  <c r="I16" i="9"/>
  <c r="I15" i="9"/>
  <c r="I14" i="9"/>
  <c r="I13" i="9"/>
  <c r="I12" i="9"/>
  <c r="I11" i="9"/>
  <c r="I10" i="9"/>
  <c r="I9" i="9"/>
  <c r="I8" i="9"/>
  <c r="I7" i="9"/>
  <c r="F5" i="9" l="1"/>
  <c r="CO75" i="5" l="1"/>
  <c r="CL75" i="5"/>
  <c r="CI75" i="5"/>
  <c r="CF75" i="5"/>
  <c r="CC75" i="5"/>
  <c r="BZ75" i="5"/>
  <c r="BW75" i="5"/>
  <c r="BT75" i="5"/>
  <c r="BQ75" i="5"/>
  <c r="BN75" i="5"/>
  <c r="BK75" i="5"/>
  <c r="BH75" i="5"/>
  <c r="BE75" i="5"/>
  <c r="BB75" i="5"/>
  <c r="AY75" i="5"/>
  <c r="AV75" i="5"/>
  <c r="AS75" i="5"/>
  <c r="AP75" i="5"/>
  <c r="AM75" i="5"/>
  <c r="AJ75" i="5"/>
  <c r="AG75" i="5"/>
  <c r="AD75" i="5"/>
  <c r="AA75" i="5"/>
  <c r="X75" i="5"/>
  <c r="U75" i="5"/>
  <c r="R75" i="5"/>
  <c r="O75" i="5"/>
  <c r="L75" i="5"/>
  <c r="I75" i="5"/>
  <c r="F75" i="5"/>
  <c r="I71" i="5" l="1"/>
  <c r="AA83" i="5"/>
  <c r="AE12" i="7" l="1"/>
  <c r="AE11" i="7"/>
  <c r="AE10" i="7"/>
  <c r="AE9" i="7"/>
  <c r="AE8" i="7"/>
  <c r="AD12" i="7"/>
  <c r="AD11" i="7"/>
  <c r="AD10" i="7"/>
  <c r="AD9" i="7"/>
  <c r="AD8" i="7"/>
  <c r="AC12" i="7"/>
  <c r="AC11" i="7"/>
  <c r="AC10" i="7"/>
  <c r="AC9" i="7"/>
  <c r="AC8" i="7"/>
  <c r="AB12" i="7"/>
  <c r="AB11" i="7"/>
  <c r="AB10" i="7"/>
  <c r="AB9" i="7"/>
  <c r="AB8" i="7"/>
  <c r="AA12" i="7"/>
  <c r="AA11" i="7"/>
  <c r="AA10" i="7"/>
  <c r="AA9" i="7"/>
  <c r="AA8" i="7"/>
  <c r="Z12" i="7"/>
  <c r="Z11" i="7"/>
  <c r="Z10" i="7"/>
  <c r="Z9" i="7"/>
  <c r="Z8" i="7"/>
  <c r="Y12" i="7"/>
  <c r="Y11" i="7"/>
  <c r="Y10" i="7"/>
  <c r="Y9" i="7"/>
  <c r="Y8" i="7"/>
  <c r="X12" i="7"/>
  <c r="X11" i="7"/>
  <c r="X10" i="7"/>
  <c r="X9" i="7"/>
  <c r="X8" i="7"/>
  <c r="W12" i="7"/>
  <c r="W11" i="7"/>
  <c r="W10" i="7"/>
  <c r="W9" i="7"/>
  <c r="W8" i="7"/>
  <c r="V12" i="7"/>
  <c r="V11" i="7"/>
  <c r="V10" i="7"/>
  <c r="V9" i="7"/>
  <c r="V8" i="7"/>
  <c r="U12" i="7"/>
  <c r="U11" i="7"/>
  <c r="U10" i="7"/>
  <c r="U9" i="7"/>
  <c r="U8" i="7"/>
  <c r="T12" i="7"/>
  <c r="T11" i="7"/>
  <c r="T10" i="7"/>
  <c r="T9" i="7"/>
  <c r="T8" i="7"/>
  <c r="S12" i="7"/>
  <c r="S11" i="7"/>
  <c r="S10" i="7"/>
  <c r="S9" i="7"/>
  <c r="S8" i="7"/>
  <c r="R12" i="7"/>
  <c r="R11" i="7"/>
  <c r="R10" i="7"/>
  <c r="R9" i="7"/>
  <c r="R8" i="7"/>
  <c r="Q12" i="7"/>
  <c r="Q11" i="7"/>
  <c r="Q10" i="7"/>
  <c r="Q9" i="7"/>
  <c r="Q8" i="7"/>
  <c r="P12" i="7"/>
  <c r="P11" i="7"/>
  <c r="P10" i="7"/>
  <c r="P9" i="7"/>
  <c r="P8" i="7"/>
  <c r="O12" i="7"/>
  <c r="O11" i="7"/>
  <c r="O10" i="7"/>
  <c r="O9" i="7"/>
  <c r="O8" i="7"/>
  <c r="N12" i="7"/>
  <c r="N11" i="7"/>
  <c r="N10" i="7"/>
  <c r="N9" i="7"/>
  <c r="N8" i="7"/>
  <c r="M12" i="7"/>
  <c r="M11" i="7"/>
  <c r="M10" i="7"/>
  <c r="M9" i="7"/>
  <c r="M8" i="7"/>
  <c r="L8" i="7"/>
  <c r="L12" i="7"/>
  <c r="L11" i="7"/>
  <c r="L10" i="7"/>
  <c r="L9" i="7"/>
  <c r="K12" i="7"/>
  <c r="K11" i="7"/>
  <c r="K10" i="7"/>
  <c r="K9" i="7"/>
  <c r="J12" i="7"/>
  <c r="J11" i="7"/>
  <c r="J10" i="7"/>
  <c r="J9" i="7"/>
  <c r="I12" i="7"/>
  <c r="I11" i="7"/>
  <c r="I10" i="7"/>
  <c r="I9" i="7"/>
  <c r="H12" i="7"/>
  <c r="H11" i="7"/>
  <c r="H10" i="7"/>
  <c r="H9" i="7"/>
  <c r="G12" i="7"/>
  <c r="H8" i="7"/>
  <c r="G11" i="7"/>
  <c r="G10" i="7"/>
  <c r="G9" i="7"/>
  <c r="F12" i="7"/>
  <c r="F11" i="7"/>
  <c r="F10" i="7"/>
  <c r="F9" i="7"/>
  <c r="E12" i="7"/>
  <c r="E11" i="7"/>
  <c r="E10" i="7"/>
  <c r="E9" i="7"/>
  <c r="D12" i="7"/>
  <c r="D11" i="7"/>
  <c r="E8" i="7"/>
  <c r="D10" i="7"/>
  <c r="D9" i="7"/>
  <c r="C12" i="7"/>
  <c r="C11" i="7"/>
  <c r="C10" i="7"/>
  <c r="C9" i="7"/>
  <c r="K8" i="7"/>
  <c r="J8" i="7"/>
  <c r="I8" i="7"/>
  <c r="G8" i="7"/>
  <c r="F8" i="7"/>
  <c r="D8" i="7"/>
  <c r="C8" i="7"/>
  <c r="CO47" i="5"/>
  <c r="CL47" i="5"/>
  <c r="CI47" i="5"/>
  <c r="CF47" i="5"/>
  <c r="CC47" i="5"/>
  <c r="BZ47" i="5"/>
  <c r="BW47" i="5"/>
  <c r="BT47" i="5"/>
  <c r="BQ47" i="5"/>
  <c r="BN47" i="5"/>
  <c r="BK47" i="5"/>
  <c r="BH47" i="5"/>
  <c r="BE47" i="5"/>
  <c r="BB47" i="5"/>
  <c r="AY47" i="5"/>
  <c r="AV47" i="5"/>
  <c r="AS47" i="5"/>
  <c r="AP47" i="5"/>
  <c r="AM47" i="5"/>
  <c r="AJ47" i="5"/>
  <c r="AG47" i="5"/>
  <c r="AD47" i="5"/>
  <c r="AA47" i="5"/>
  <c r="X47" i="5"/>
  <c r="U47" i="5"/>
  <c r="R47" i="5"/>
  <c r="O47" i="5"/>
  <c r="L47" i="5"/>
  <c r="I47" i="5"/>
  <c r="F47" i="5"/>
  <c r="F48" i="5" s="1"/>
  <c r="K5" i="1" l="1"/>
  <c r="J5" i="1"/>
  <c r="I5" i="1"/>
  <c r="H5" i="1"/>
  <c r="G5" i="1"/>
  <c r="D28" i="5" l="1"/>
  <c r="D27" i="5"/>
  <c r="D26" i="5"/>
  <c r="D25" i="5"/>
  <c r="D24" i="5"/>
  <c r="CO48" i="5" l="1"/>
  <c r="CL48" i="5"/>
  <c r="CI48" i="5"/>
  <c r="CF48" i="5"/>
  <c r="CC48" i="5"/>
  <c r="BZ48" i="5"/>
  <c r="BW48" i="5"/>
  <c r="BT48" i="5"/>
  <c r="BQ48" i="5"/>
  <c r="BN48" i="5"/>
  <c r="BK48" i="5"/>
  <c r="BH48" i="5"/>
  <c r="BE48" i="5"/>
  <c r="BB48" i="5"/>
  <c r="AY48" i="5"/>
  <c r="AV48" i="5"/>
  <c r="AS48" i="5"/>
  <c r="AP48" i="5"/>
  <c r="AM48" i="5"/>
  <c r="AJ48" i="5"/>
  <c r="AG48" i="5"/>
  <c r="AD48" i="5"/>
  <c r="AA48" i="5"/>
  <c r="X48" i="5"/>
  <c r="U48" i="5"/>
  <c r="R48" i="5"/>
  <c r="O48" i="5"/>
  <c r="L48" i="5"/>
  <c r="I48" i="5"/>
  <c r="CO71" i="5" l="1"/>
  <c r="CL71" i="5"/>
  <c r="CI71" i="5"/>
  <c r="CF71" i="5"/>
  <c r="CC71" i="5"/>
  <c r="BZ71" i="5"/>
  <c r="BW71" i="5"/>
  <c r="BT71" i="5"/>
  <c r="BQ71" i="5"/>
  <c r="BN71" i="5"/>
  <c r="BK71" i="5"/>
  <c r="BH71" i="5"/>
  <c r="BE71" i="5"/>
  <c r="BB71" i="5"/>
  <c r="AY71" i="5"/>
  <c r="AV71" i="5"/>
  <c r="AS71" i="5"/>
  <c r="AP71" i="5"/>
  <c r="AM71" i="5"/>
  <c r="AJ71" i="5"/>
  <c r="AG71" i="5"/>
  <c r="AD71" i="5"/>
  <c r="AA71" i="5"/>
  <c r="X71" i="5"/>
  <c r="U71" i="5"/>
  <c r="R71" i="5"/>
  <c r="O71" i="5"/>
  <c r="L71" i="5"/>
  <c r="CO64" i="5"/>
  <c r="CL64" i="5"/>
  <c r="CI64" i="5"/>
  <c r="CF64" i="5"/>
  <c r="CC64" i="5"/>
  <c r="BZ64" i="5"/>
  <c r="BW64" i="5"/>
  <c r="BT64" i="5"/>
  <c r="BQ64" i="5"/>
  <c r="BN64" i="5"/>
  <c r="BK64" i="5"/>
  <c r="BH64" i="5"/>
  <c r="BE64" i="5"/>
  <c r="BB64" i="5"/>
  <c r="AY64" i="5"/>
  <c r="AV64" i="5"/>
  <c r="AS64" i="5"/>
  <c r="AP64" i="5"/>
  <c r="AM64" i="5"/>
  <c r="AJ64" i="5"/>
  <c r="AG64" i="5"/>
  <c r="AD64" i="5"/>
  <c r="AA64" i="5"/>
  <c r="X64" i="5"/>
  <c r="U64" i="5"/>
  <c r="R64" i="5"/>
  <c r="O64" i="5"/>
  <c r="L64" i="5"/>
  <c r="I64" i="5"/>
  <c r="CO58" i="5"/>
  <c r="CL58" i="5"/>
  <c r="CI58" i="5"/>
  <c r="CF58" i="5"/>
  <c r="CC58" i="5"/>
  <c r="BZ58" i="5"/>
  <c r="BW58" i="5"/>
  <c r="BT58" i="5"/>
  <c r="BQ58" i="5"/>
  <c r="BN58" i="5"/>
  <c r="BK58" i="5"/>
  <c r="BH58" i="5"/>
  <c r="BE58" i="5"/>
  <c r="BB58" i="5"/>
  <c r="AY58" i="5"/>
  <c r="AV58" i="5"/>
  <c r="AS58" i="5"/>
  <c r="AP58" i="5"/>
  <c r="AM58" i="5"/>
  <c r="AJ58" i="5"/>
  <c r="AG58" i="5"/>
  <c r="AD58" i="5"/>
  <c r="AA58" i="5"/>
  <c r="X58" i="5"/>
  <c r="U58" i="5"/>
  <c r="R58" i="5"/>
  <c r="O58" i="5"/>
  <c r="L58" i="5"/>
  <c r="I58" i="5"/>
  <c r="F71" i="5"/>
  <c r="F64" i="5"/>
  <c r="F58" i="5"/>
  <c r="K36" i="9" l="1"/>
  <c r="K35" i="9"/>
  <c r="K34" i="9"/>
  <c r="K33" i="9"/>
  <c r="K32" i="9"/>
  <c r="K31" i="9"/>
  <c r="K30" i="9"/>
  <c r="K29" i="9"/>
  <c r="K28" i="9"/>
  <c r="K27" i="9"/>
  <c r="K26" i="9"/>
  <c r="K25" i="9"/>
  <c r="K24" i="9"/>
  <c r="K23" i="9"/>
  <c r="K22" i="9"/>
  <c r="K21" i="9"/>
  <c r="K20" i="9"/>
  <c r="K19" i="9"/>
  <c r="K18" i="9"/>
  <c r="K17" i="9"/>
  <c r="K16" i="9"/>
  <c r="K15" i="9"/>
  <c r="K14" i="9"/>
  <c r="K13" i="9"/>
  <c r="K12" i="9"/>
  <c r="K11" i="9"/>
  <c r="K10" i="9"/>
  <c r="K9" i="9" l="1"/>
  <c r="K8" i="9"/>
  <c r="K7" i="9"/>
  <c r="B12" i="7" l="1"/>
  <c r="B11" i="7"/>
  <c r="B10" i="7"/>
  <c r="B9" i="7"/>
  <c r="B8" i="7"/>
  <c r="CO88" i="5" l="1"/>
  <c r="CL88" i="5"/>
  <c r="CI88" i="5"/>
  <c r="CF88" i="5"/>
  <c r="CC88" i="5"/>
  <c r="BZ88" i="5"/>
  <c r="BW88" i="5"/>
  <c r="BT88" i="5"/>
  <c r="BQ88" i="5"/>
  <c r="BN88" i="5"/>
  <c r="BK88" i="5"/>
  <c r="BH88" i="5"/>
  <c r="BE88" i="5"/>
  <c r="BB88" i="5"/>
  <c r="AY88" i="5"/>
  <c r="AV88" i="5"/>
  <c r="AS88" i="5"/>
  <c r="AP88" i="5"/>
  <c r="AM88" i="5"/>
  <c r="AJ88" i="5"/>
  <c r="AG88" i="5"/>
  <c r="AD88" i="5"/>
  <c r="AA88" i="5"/>
  <c r="X88" i="5"/>
  <c r="U88" i="5"/>
  <c r="R88" i="5"/>
  <c r="O88" i="5"/>
  <c r="L88" i="5"/>
  <c r="I88" i="5"/>
  <c r="CO83" i="5"/>
  <c r="CL83" i="5"/>
  <c r="CI83" i="5"/>
  <c r="CF83" i="5"/>
  <c r="CC83" i="5"/>
  <c r="BZ83" i="5"/>
  <c r="BW83" i="5"/>
  <c r="BT83" i="5"/>
  <c r="BQ83" i="5"/>
  <c r="BN83" i="5"/>
  <c r="BK83" i="5"/>
  <c r="BH83" i="5"/>
  <c r="BE83" i="5"/>
  <c r="BB83" i="5"/>
  <c r="AY83" i="5"/>
  <c r="AV83" i="5"/>
  <c r="AS83" i="5"/>
  <c r="AP83" i="5"/>
  <c r="AM83" i="5"/>
  <c r="AJ83" i="5"/>
  <c r="AG83" i="5"/>
  <c r="AD83" i="5"/>
  <c r="X83" i="5"/>
  <c r="U83" i="5"/>
  <c r="R83" i="5"/>
  <c r="O83" i="5"/>
  <c r="L83" i="5"/>
  <c r="I83" i="5"/>
  <c r="CO78" i="5"/>
  <c r="CL78" i="5"/>
  <c r="CI78" i="5"/>
  <c r="CF78" i="5"/>
  <c r="CC78" i="5"/>
  <c r="BZ78" i="5"/>
  <c r="BW78" i="5"/>
  <c r="BT78" i="5"/>
  <c r="BQ78" i="5"/>
  <c r="BN78" i="5"/>
  <c r="BK78" i="5"/>
  <c r="BH78" i="5"/>
  <c r="BE78" i="5"/>
  <c r="BB78" i="5"/>
  <c r="AY78" i="5"/>
  <c r="AV78" i="5"/>
  <c r="AS78" i="5"/>
  <c r="AP78" i="5"/>
  <c r="AM78" i="5"/>
  <c r="AJ78" i="5"/>
  <c r="AG78" i="5"/>
  <c r="AD78" i="5"/>
  <c r="AA78" i="5"/>
  <c r="X78" i="5"/>
  <c r="U78" i="5"/>
  <c r="R78" i="5"/>
  <c r="O78" i="5"/>
  <c r="L78" i="5"/>
  <c r="I78" i="5"/>
  <c r="CO52" i="5"/>
  <c r="CL52" i="5"/>
  <c r="CI52" i="5"/>
  <c r="CF52" i="5"/>
  <c r="CC52" i="5"/>
  <c r="BZ52" i="5"/>
  <c r="BW52" i="5"/>
  <c r="BT52" i="5"/>
  <c r="BQ52" i="5"/>
  <c r="BN52" i="5"/>
  <c r="BK52" i="5"/>
  <c r="BH52" i="5"/>
  <c r="BE52" i="5"/>
  <c r="BB52" i="5"/>
  <c r="AY52" i="5"/>
  <c r="AV52" i="5"/>
  <c r="AS52" i="5"/>
  <c r="AP52" i="5"/>
  <c r="AM52" i="5"/>
  <c r="AJ52" i="5"/>
  <c r="AG52" i="5"/>
  <c r="AD52" i="5"/>
  <c r="AA52" i="5"/>
  <c r="X52" i="5"/>
  <c r="U52" i="5"/>
  <c r="R52" i="5"/>
  <c r="O52" i="5"/>
  <c r="L52" i="5"/>
  <c r="I52" i="5"/>
  <c r="CO49" i="5"/>
  <c r="CL49" i="5"/>
  <c r="CI49" i="5"/>
  <c r="CF49" i="5"/>
  <c r="CC49" i="5"/>
  <c r="BZ49" i="5"/>
  <c r="BW49" i="5"/>
  <c r="BT49" i="5"/>
  <c r="BQ49" i="5"/>
  <c r="BN49" i="5"/>
  <c r="BK49" i="5"/>
  <c r="BH49" i="5"/>
  <c r="BE49" i="5"/>
  <c r="BB49" i="5"/>
  <c r="AY49" i="5"/>
  <c r="AV49" i="5"/>
  <c r="AS49" i="5"/>
  <c r="AP49" i="5"/>
  <c r="AM49" i="5"/>
  <c r="AJ49" i="5"/>
  <c r="AG49" i="5"/>
  <c r="AD49" i="5"/>
  <c r="AA49" i="5"/>
  <c r="X49" i="5"/>
  <c r="U49" i="5"/>
  <c r="R49" i="5"/>
  <c r="O49" i="5"/>
  <c r="L49" i="5"/>
  <c r="I49" i="5"/>
  <c r="CO44" i="5" l="1"/>
  <c r="CL44" i="5"/>
  <c r="CI44" i="5"/>
  <c r="CF44" i="5"/>
  <c r="CC44" i="5"/>
  <c r="BZ44" i="5"/>
  <c r="BW44" i="5"/>
  <c r="BT44" i="5"/>
  <c r="BQ44" i="5"/>
  <c r="BN44" i="5"/>
  <c r="BK44" i="5"/>
  <c r="BH44" i="5"/>
  <c r="BE44" i="5"/>
  <c r="BB44" i="5"/>
  <c r="AY44" i="5"/>
  <c r="AV44" i="5"/>
  <c r="AS44" i="5"/>
  <c r="AP44" i="5"/>
  <c r="AM44" i="5"/>
  <c r="AJ44" i="5"/>
  <c r="AG44" i="5"/>
  <c r="AD44" i="5"/>
  <c r="AA44" i="5"/>
  <c r="X44" i="5"/>
  <c r="U44" i="5"/>
  <c r="R44" i="5"/>
  <c r="O44" i="5"/>
  <c r="L44" i="5"/>
  <c r="I44" i="5"/>
  <c r="CO37" i="5"/>
  <c r="CL37" i="5"/>
  <c r="CI37" i="5"/>
  <c r="CF37" i="5"/>
  <c r="CC37" i="5"/>
  <c r="BZ37" i="5"/>
  <c r="BW37" i="5"/>
  <c r="BT37" i="5"/>
  <c r="BQ37" i="5"/>
  <c r="BN37" i="5"/>
  <c r="BK37" i="5"/>
  <c r="BH37" i="5"/>
  <c r="BE37" i="5"/>
  <c r="BB37" i="5"/>
  <c r="AY37" i="5"/>
  <c r="AV37" i="5"/>
  <c r="AS37" i="5"/>
  <c r="AP37" i="5"/>
  <c r="AM37" i="5"/>
  <c r="AJ37" i="5"/>
  <c r="AG37" i="5"/>
  <c r="AD37" i="5"/>
  <c r="AA37" i="5"/>
  <c r="X37" i="5"/>
  <c r="U37" i="5"/>
  <c r="R37" i="5"/>
  <c r="O37" i="5"/>
  <c r="L37" i="5"/>
  <c r="I37" i="5"/>
  <c r="CO29" i="5"/>
  <c r="CL29" i="5"/>
  <c r="CI29" i="5"/>
  <c r="CF29" i="5"/>
  <c r="CC29" i="5"/>
  <c r="BZ29" i="5"/>
  <c r="BW29" i="5"/>
  <c r="BT29" i="5"/>
  <c r="BQ29" i="5"/>
  <c r="BN29" i="5"/>
  <c r="BK29" i="5"/>
  <c r="BH29" i="5"/>
  <c r="BE29" i="5"/>
  <c r="BB29" i="5"/>
  <c r="AY29" i="5"/>
  <c r="AV29" i="5"/>
  <c r="AS29" i="5"/>
  <c r="AP29" i="5"/>
  <c r="AM29" i="5"/>
  <c r="AJ29" i="5"/>
  <c r="AG29" i="5"/>
  <c r="AD29" i="5"/>
  <c r="AA29" i="5"/>
  <c r="X29" i="5"/>
  <c r="U29" i="5"/>
  <c r="R29" i="5"/>
  <c r="O29" i="5"/>
  <c r="L29" i="5"/>
  <c r="I29" i="5"/>
  <c r="CO15" i="5"/>
  <c r="CO13" i="5"/>
  <c r="CL15" i="5"/>
  <c r="CL13" i="5"/>
  <c r="CI15" i="5"/>
  <c r="CI13" i="5"/>
  <c r="CF15" i="5"/>
  <c r="CF13" i="5"/>
  <c r="CC15" i="5"/>
  <c r="CC13" i="5"/>
  <c r="BZ15" i="5"/>
  <c r="BZ13" i="5"/>
  <c r="BW15" i="5"/>
  <c r="BW13" i="5"/>
  <c r="BT15" i="5"/>
  <c r="BT13" i="5"/>
  <c r="BQ15" i="5"/>
  <c r="BQ13" i="5"/>
  <c r="BN15" i="5"/>
  <c r="BN13" i="5"/>
  <c r="BK15" i="5"/>
  <c r="BK13" i="5"/>
  <c r="BH15" i="5"/>
  <c r="BH13" i="5"/>
  <c r="BE15" i="5"/>
  <c r="BE13" i="5"/>
  <c r="BB15" i="5"/>
  <c r="BB13" i="5"/>
  <c r="AY15" i="5"/>
  <c r="AY13" i="5"/>
  <c r="AV15" i="5"/>
  <c r="AV13" i="5"/>
  <c r="AS15" i="5"/>
  <c r="AS13" i="5"/>
  <c r="AP15" i="5"/>
  <c r="AP13" i="5"/>
  <c r="AM15" i="5"/>
  <c r="AM13" i="5"/>
  <c r="AJ15" i="5"/>
  <c r="AJ13" i="5"/>
  <c r="AG15" i="5"/>
  <c r="AG13" i="5"/>
  <c r="AD15" i="5"/>
  <c r="AD13" i="5"/>
  <c r="AA15" i="5"/>
  <c r="AA13" i="5"/>
  <c r="X15" i="5"/>
  <c r="X13" i="5"/>
  <c r="U15" i="5"/>
  <c r="U13" i="5"/>
  <c r="R15" i="5"/>
  <c r="R13" i="5"/>
  <c r="O15" i="5"/>
  <c r="O13" i="5"/>
  <c r="L15" i="5"/>
  <c r="L13" i="5"/>
  <c r="I15" i="5"/>
  <c r="I13" i="5"/>
  <c r="F88" i="5" l="1"/>
  <c r="F83" i="5"/>
  <c r="F78" i="5"/>
  <c r="F52" i="5"/>
  <c r="F49" i="5"/>
  <c r="F44" i="5"/>
  <c r="F29" i="5"/>
  <c r="F37" i="5"/>
  <c r="F15" i="5"/>
  <c r="F13" i="5"/>
  <c r="I57" i="5" l="1"/>
  <c r="I91" i="5" s="1"/>
  <c r="O57" i="5"/>
  <c r="O91" i="5" s="1"/>
  <c r="R57" i="5"/>
  <c r="R91" i="5" s="1"/>
  <c r="X57" i="5"/>
  <c r="X91" i="5" s="1"/>
  <c r="AA57" i="5"/>
  <c r="AA91" i="5" s="1"/>
  <c r="AG57" i="5"/>
  <c r="AG91" i="5" s="1"/>
  <c r="AJ57" i="5"/>
  <c r="AJ91" i="5" s="1"/>
  <c r="AP57" i="5"/>
  <c r="AP91" i="5" s="1"/>
  <c r="AS57" i="5"/>
  <c r="AS91" i="5" s="1"/>
  <c r="AY57" i="5"/>
  <c r="AY91" i="5" s="1"/>
  <c r="BB57" i="5"/>
  <c r="BB91" i="5" s="1"/>
  <c r="BH57" i="5"/>
  <c r="BH91" i="5" s="1"/>
  <c r="BK57" i="5"/>
  <c r="BK91" i="5" s="1"/>
  <c r="BQ57" i="5"/>
  <c r="BQ91" i="5" s="1"/>
  <c r="BT57" i="5"/>
  <c r="BT91" i="5" s="1"/>
  <c r="BZ57" i="5"/>
  <c r="BZ91" i="5" s="1"/>
  <c r="CC57" i="5"/>
  <c r="CC91" i="5" s="1"/>
  <c r="CI57" i="5"/>
  <c r="CI91" i="5" s="1"/>
  <c r="CL57" i="5"/>
  <c r="CL91" i="5" s="1"/>
  <c r="CL90" i="5" l="1"/>
  <c r="J35" i="9"/>
  <c r="CI90" i="5"/>
  <c r="J34" i="9"/>
  <c r="CC90" i="5"/>
  <c r="J32" i="9"/>
  <c r="BZ90" i="5"/>
  <c r="J31" i="9"/>
  <c r="BT90" i="5"/>
  <c r="J29" i="9"/>
  <c r="BK90" i="5"/>
  <c r="J26" i="9"/>
  <c r="BH90" i="5"/>
  <c r="J25" i="9"/>
  <c r="BB90" i="5"/>
  <c r="J23" i="9"/>
  <c r="AY90" i="5"/>
  <c r="J22" i="9"/>
  <c r="AS90" i="5"/>
  <c r="J20" i="9"/>
  <c r="AP90" i="5"/>
  <c r="J19" i="9"/>
  <c r="AJ90" i="5"/>
  <c r="J17" i="9"/>
  <c r="AG90" i="5"/>
  <c r="J16" i="9"/>
  <c r="AA90" i="5"/>
  <c r="J14" i="9"/>
  <c r="R90" i="5"/>
  <c r="J11" i="9"/>
  <c r="X90" i="5"/>
  <c r="J13" i="9"/>
  <c r="BQ90" i="5"/>
  <c r="J28" i="9"/>
  <c r="O90" i="5"/>
  <c r="J10" i="9"/>
  <c r="I90" i="5"/>
  <c r="J8" i="9"/>
  <c r="BW57" i="5"/>
  <c r="BW91" i="5" s="1"/>
  <c r="AM57" i="5"/>
  <c r="AM91" i="5" s="1"/>
  <c r="BN57" i="5"/>
  <c r="BN91" i="5" s="1"/>
  <c r="AD57" i="5"/>
  <c r="AD91" i="5" s="1"/>
  <c r="CO57" i="5"/>
  <c r="CO91" i="5" s="1"/>
  <c r="BE57" i="5"/>
  <c r="BE91" i="5" s="1"/>
  <c r="U57" i="5"/>
  <c r="U91" i="5" s="1"/>
  <c r="CF57" i="5"/>
  <c r="CF91" i="5" s="1"/>
  <c r="AV57" i="5"/>
  <c r="AV91" i="5" s="1"/>
  <c r="L57" i="5"/>
  <c r="L91" i="5" s="1"/>
  <c r="F57" i="5"/>
  <c r="J7" i="9" l="1"/>
  <c r="F91" i="5"/>
  <c r="F90" i="5" s="1"/>
  <c r="CO90" i="5"/>
  <c r="J36" i="9"/>
  <c r="CF90" i="5"/>
  <c r="J33" i="9"/>
  <c r="BW90" i="5"/>
  <c r="J30" i="9"/>
  <c r="BE90" i="5"/>
  <c r="J24" i="9"/>
  <c r="AV90" i="5"/>
  <c r="J21" i="9"/>
  <c r="AM90" i="5"/>
  <c r="J18" i="9"/>
  <c r="AD90" i="5"/>
  <c r="J15" i="9"/>
  <c r="U90" i="5"/>
  <c r="J12" i="9"/>
  <c r="BN90" i="5"/>
  <c r="J27" i="9"/>
  <c r="L90" i="5"/>
  <c r="J9" i="9"/>
  <c r="CO12" i="5" l="1"/>
  <c r="CO11" i="5"/>
  <c r="CO10" i="5"/>
  <c r="CO9" i="5"/>
  <c r="CO8" i="5"/>
  <c r="CO95" i="5" s="1"/>
  <c r="CL12" i="5"/>
  <c r="CL11" i="5"/>
  <c r="CL10" i="5"/>
  <c r="CL9" i="5"/>
  <c r="CL8" i="5"/>
  <c r="CL95" i="5" s="1"/>
  <c r="CI12" i="5"/>
  <c r="CI11" i="5"/>
  <c r="CI10" i="5"/>
  <c r="CI9" i="5"/>
  <c r="CI8" i="5"/>
  <c r="CI95" i="5" s="1"/>
  <c r="CF10" i="5"/>
  <c r="CF12" i="5"/>
  <c r="CF11" i="5"/>
  <c r="CF9" i="5"/>
  <c r="CF8" i="5"/>
  <c r="CF95" i="5" s="1"/>
  <c r="CC12" i="5"/>
  <c r="CC11" i="5"/>
  <c r="CC10" i="5"/>
  <c r="CC9" i="5"/>
  <c r="CC8" i="5"/>
  <c r="CC95" i="5" s="1"/>
  <c r="BZ12" i="5"/>
  <c r="BZ11" i="5"/>
  <c r="BZ10" i="5"/>
  <c r="BZ9" i="5"/>
  <c r="BZ8" i="5"/>
  <c r="BZ95" i="5" s="1"/>
  <c r="BW12" i="5"/>
  <c r="BW11" i="5"/>
  <c r="BW10" i="5"/>
  <c r="BW9" i="5"/>
  <c r="BW8" i="5"/>
  <c r="BW95" i="5" s="1"/>
  <c r="BT12" i="5"/>
  <c r="BT11" i="5"/>
  <c r="BT10" i="5"/>
  <c r="BT9" i="5"/>
  <c r="BT8" i="5"/>
  <c r="BT95" i="5" s="1"/>
  <c r="BQ12" i="5"/>
  <c r="BQ11" i="5"/>
  <c r="BQ10" i="5"/>
  <c r="BQ9" i="5"/>
  <c r="BQ8" i="5"/>
  <c r="BQ95" i="5" s="1"/>
  <c r="BN12" i="5"/>
  <c r="BN11" i="5"/>
  <c r="BN10" i="5"/>
  <c r="BN9" i="5"/>
  <c r="BN8" i="5"/>
  <c r="BN95" i="5" s="1"/>
  <c r="BK12" i="5"/>
  <c r="BK11" i="5"/>
  <c r="BK10" i="5"/>
  <c r="BK9" i="5"/>
  <c r="BK8" i="5"/>
  <c r="BK95" i="5" s="1"/>
  <c r="BH12" i="5"/>
  <c r="BH11" i="5"/>
  <c r="BH10" i="5"/>
  <c r="BH9" i="5"/>
  <c r="BH8" i="5"/>
  <c r="BH95" i="5" s="1"/>
  <c r="BE12" i="5"/>
  <c r="BE11" i="5"/>
  <c r="BE10" i="5"/>
  <c r="BE9" i="5"/>
  <c r="BE8" i="5"/>
  <c r="BE95" i="5" s="1"/>
  <c r="BB12" i="5"/>
  <c r="BB11" i="5"/>
  <c r="BB10" i="5"/>
  <c r="BB9" i="5"/>
  <c r="BB8" i="5"/>
  <c r="BB95" i="5" s="1"/>
  <c r="AY12" i="5"/>
  <c r="AY11" i="5"/>
  <c r="AY10" i="5"/>
  <c r="AY9" i="5"/>
  <c r="AY8" i="5"/>
  <c r="AY95" i="5" s="1"/>
  <c r="AV12" i="5"/>
  <c r="AV11" i="5"/>
  <c r="AV10" i="5"/>
  <c r="AV9" i="5"/>
  <c r="AV8" i="5"/>
  <c r="AV95" i="5" s="1"/>
  <c r="AS11" i="5"/>
  <c r="AS10" i="5"/>
  <c r="AS9" i="5"/>
  <c r="AS8" i="5"/>
  <c r="AS95" i="5" s="1"/>
  <c r="AS12" i="5"/>
  <c r="AP12" i="5"/>
  <c r="AP11" i="5"/>
  <c r="AP10" i="5"/>
  <c r="AP9" i="5"/>
  <c r="AP8" i="5"/>
  <c r="AP95" i="5" s="1"/>
  <c r="AM12" i="5"/>
  <c r="AM11" i="5"/>
  <c r="AM10" i="5"/>
  <c r="AM9" i="5"/>
  <c r="AM8" i="5"/>
  <c r="AM95" i="5" s="1"/>
  <c r="AJ12" i="5"/>
  <c r="AJ11" i="5"/>
  <c r="AJ10" i="5"/>
  <c r="AJ9" i="5"/>
  <c r="AJ8" i="5"/>
  <c r="AG12" i="5"/>
  <c r="AG11" i="5"/>
  <c r="AG10" i="5"/>
  <c r="AG9" i="5"/>
  <c r="AG8" i="5"/>
  <c r="AD12" i="5"/>
  <c r="AD11" i="5"/>
  <c r="AD10" i="5"/>
  <c r="AD9" i="5"/>
  <c r="AD8" i="5"/>
  <c r="AA12" i="5"/>
  <c r="AA11" i="5"/>
  <c r="AA10" i="5"/>
  <c r="AA9" i="5"/>
  <c r="AA8" i="5"/>
  <c r="X12" i="5"/>
  <c r="X11" i="5"/>
  <c r="X10" i="5"/>
  <c r="X9" i="5"/>
  <c r="X8" i="5"/>
  <c r="U12" i="5"/>
  <c r="U11" i="5"/>
  <c r="U10" i="5"/>
  <c r="U9" i="5"/>
  <c r="U8" i="5"/>
  <c r="R12" i="5"/>
  <c r="R11" i="5"/>
  <c r="R10" i="5"/>
  <c r="R9" i="5"/>
  <c r="R8" i="5"/>
  <c r="O12" i="5"/>
  <c r="O11" i="5"/>
  <c r="O10" i="5"/>
  <c r="O9" i="5"/>
  <c r="O8" i="5"/>
  <c r="L12" i="5"/>
  <c r="L11" i="5"/>
  <c r="L10" i="5"/>
  <c r="L9" i="5"/>
  <c r="L8" i="5"/>
  <c r="I12" i="5"/>
  <c r="I11" i="5"/>
  <c r="I10" i="5"/>
  <c r="I9" i="5"/>
  <c r="I8" i="5"/>
  <c r="F9" i="5"/>
  <c r="F10" i="5"/>
  <c r="F11" i="5"/>
  <c r="F12" i="5"/>
  <c r="F8" i="5"/>
  <c r="X95" i="5" l="1"/>
  <c r="AA95" i="5"/>
  <c r="AJ95" i="5"/>
  <c r="AG95" i="5"/>
  <c r="AD95" i="5"/>
  <c r="U95" i="5"/>
  <c r="R95" i="5"/>
  <c r="O95" i="5"/>
  <c r="L95" i="5"/>
  <c r="I95" i="5"/>
  <c r="F95" i="5"/>
  <c r="C36" i="9"/>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7" i="9"/>
  <c r="X6" i="5" l="1"/>
  <c r="A12" i="8" s="1"/>
  <c r="H6" i="7"/>
  <c r="AV6" i="5"/>
  <c r="P6" i="7"/>
  <c r="BE6" i="5"/>
  <c r="S6" i="7"/>
  <c r="AY6" i="5"/>
  <c r="Q6" i="7"/>
  <c r="CF6" i="5"/>
  <c r="AB6" i="7"/>
  <c r="BW6" i="5"/>
  <c r="Y6" i="7"/>
  <c r="AD6" i="5"/>
  <c r="J6" i="7"/>
  <c r="AG6" i="5"/>
  <c r="K6" i="7"/>
  <c r="AJ6" i="5"/>
  <c r="L6" i="7"/>
  <c r="AM6" i="5"/>
  <c r="M6" i="7"/>
  <c r="BK6" i="5"/>
  <c r="U6" i="7"/>
  <c r="CI6" i="5"/>
  <c r="AC6" i="7"/>
  <c r="BT6" i="5"/>
  <c r="X6" i="7"/>
  <c r="I6" i="5"/>
  <c r="A7" i="8" s="1"/>
  <c r="C6" i="7"/>
  <c r="O6" i="5"/>
  <c r="E6" i="7"/>
  <c r="AP6" i="5"/>
  <c r="N6" i="7"/>
  <c r="CL6" i="5"/>
  <c r="AD6" i="7"/>
  <c r="AA6" i="5"/>
  <c r="A13" i="8" s="1"/>
  <c r="I6" i="7"/>
  <c r="BB6" i="5"/>
  <c r="R6" i="7"/>
  <c r="CC6" i="5"/>
  <c r="AA6" i="7"/>
  <c r="BH6" i="5"/>
  <c r="T6" i="7"/>
  <c r="R6" i="5"/>
  <c r="A10" i="8" s="1"/>
  <c r="F6" i="7"/>
  <c r="BN6" i="5"/>
  <c r="V6" i="7"/>
  <c r="AS6" i="5"/>
  <c r="O6" i="7"/>
  <c r="BQ6" i="5"/>
  <c r="W6" i="7"/>
  <c r="CO6" i="5"/>
  <c r="AE6" i="7"/>
  <c r="L6" i="5"/>
  <c r="D6" i="7"/>
  <c r="BZ6" i="5"/>
  <c r="Z6" i="7"/>
  <c r="U6" i="5"/>
  <c r="A11" i="8" s="1"/>
  <c r="G6" i="7"/>
  <c r="B6" i="7"/>
  <c r="I7" i="8" l="1"/>
  <c r="G7" i="8"/>
  <c r="F7" i="8"/>
  <c r="D7" i="8"/>
  <c r="E7" i="8"/>
  <c r="C7" i="8"/>
  <c r="H7" i="8"/>
  <c r="A8" i="8"/>
  <c r="A64" i="10"/>
  <c r="A35" i="8"/>
  <c r="A35" i="1"/>
  <c r="A62" i="10"/>
  <c r="A34" i="8"/>
  <c r="C34" i="8" s="1"/>
  <c r="A34" i="1"/>
  <c r="A60" i="10"/>
  <c r="A33" i="8"/>
  <c r="A33" i="1"/>
  <c r="A58" i="10"/>
  <c r="A32" i="8"/>
  <c r="I32" i="8" s="1"/>
  <c r="A32" i="1"/>
  <c r="A56" i="10"/>
  <c r="A31" i="8"/>
  <c r="A31" i="1"/>
  <c r="A54" i="10"/>
  <c r="A30" i="8"/>
  <c r="G30" i="8" s="1"/>
  <c r="A30" i="1"/>
  <c r="A52" i="10"/>
  <c r="A29" i="8"/>
  <c r="A29" i="1"/>
  <c r="A50" i="10"/>
  <c r="A28" i="8"/>
  <c r="A28" i="1"/>
  <c r="A48" i="10"/>
  <c r="A27" i="8"/>
  <c r="I27" i="8" s="1"/>
  <c r="A27" i="1"/>
  <c r="A46" i="10"/>
  <c r="A26" i="8"/>
  <c r="A26" i="1"/>
  <c r="A44" i="10"/>
  <c r="A25" i="8"/>
  <c r="A25" i="1"/>
  <c r="A42" i="10"/>
  <c r="A24" i="8"/>
  <c r="D24" i="8" s="1"/>
  <c r="A24" i="1"/>
  <c r="A40" i="10"/>
  <c r="A23" i="8"/>
  <c r="A23" i="1"/>
  <c r="A38" i="10"/>
  <c r="A22" i="8"/>
  <c r="A22" i="1"/>
  <c r="A36" i="10"/>
  <c r="A21" i="8"/>
  <c r="A21" i="1"/>
  <c r="A34" i="10"/>
  <c r="A20" i="8"/>
  <c r="A20" i="1"/>
  <c r="A32" i="10"/>
  <c r="A19" i="8"/>
  <c r="I19" i="8" s="1"/>
  <c r="A19" i="1"/>
  <c r="A30" i="10"/>
  <c r="A18" i="8"/>
  <c r="A18" i="1"/>
  <c r="A28" i="10"/>
  <c r="A17" i="8"/>
  <c r="A17" i="1"/>
  <c r="A26" i="10"/>
  <c r="A16" i="8"/>
  <c r="D16" i="8" s="1"/>
  <c r="A16" i="1"/>
  <c r="A24" i="10"/>
  <c r="A15" i="8"/>
  <c r="D15" i="8" s="1"/>
  <c r="A15" i="1"/>
  <c r="A22" i="10"/>
  <c r="A14" i="8"/>
  <c r="A14" i="1"/>
  <c r="D34" i="8"/>
  <c r="F26" i="8"/>
  <c r="D13" i="8"/>
  <c r="D12" i="8"/>
  <c r="C11" i="8"/>
  <c r="E26" i="8"/>
  <c r="I22" i="8"/>
  <c r="G18" i="8"/>
  <c r="C14" i="8"/>
  <c r="C13" i="8"/>
  <c r="C12" i="8"/>
  <c r="I10" i="8"/>
  <c r="G31" i="8"/>
  <c r="F30" i="8"/>
  <c r="D26" i="8"/>
  <c r="H22" i="8"/>
  <c r="F18" i="8"/>
  <c r="I11" i="8"/>
  <c r="H10" i="8"/>
  <c r="I34" i="8"/>
  <c r="E30" i="8"/>
  <c r="C26" i="8"/>
  <c r="I24" i="8"/>
  <c r="G22" i="8"/>
  <c r="E18" i="8"/>
  <c r="I14" i="8"/>
  <c r="I13" i="8"/>
  <c r="I12" i="8"/>
  <c r="H11" i="8"/>
  <c r="G10" i="8"/>
  <c r="H34" i="8"/>
  <c r="D30" i="8"/>
  <c r="H24" i="8"/>
  <c r="F22" i="8"/>
  <c r="D18" i="8"/>
  <c r="H14" i="8"/>
  <c r="H13" i="8"/>
  <c r="H12" i="8"/>
  <c r="G11" i="8"/>
  <c r="F10" i="8"/>
  <c r="G34" i="8"/>
  <c r="C30" i="8"/>
  <c r="I26" i="8"/>
  <c r="G24" i="8"/>
  <c r="E22" i="8"/>
  <c r="C18" i="8"/>
  <c r="G14" i="8"/>
  <c r="G13" i="8"/>
  <c r="G12" i="8"/>
  <c r="F11" i="8"/>
  <c r="E10" i="8"/>
  <c r="F34" i="8"/>
  <c r="H26" i="8"/>
  <c r="F24" i="8"/>
  <c r="D22" i="8"/>
  <c r="D21" i="8"/>
  <c r="F14" i="8"/>
  <c r="F13" i="8"/>
  <c r="F12" i="8"/>
  <c r="E11" i="8"/>
  <c r="D10" i="8"/>
  <c r="F35" i="8"/>
  <c r="E34" i="8"/>
  <c r="I30" i="8"/>
  <c r="G26" i="8"/>
  <c r="C22" i="8"/>
  <c r="I18" i="8"/>
  <c r="E14" i="8"/>
  <c r="E13" i="8"/>
  <c r="E12" i="8"/>
  <c r="D11" i="8"/>
  <c r="C10" i="8"/>
  <c r="A9" i="8"/>
  <c r="A20" i="10"/>
  <c r="A13" i="1"/>
  <c r="A18" i="10"/>
  <c r="A12" i="1"/>
  <c r="A16" i="10"/>
  <c r="A11" i="1"/>
  <c r="A14" i="10"/>
  <c r="A10" i="1"/>
  <c r="A12" i="10"/>
  <c r="A9" i="1"/>
  <c r="A10" i="10"/>
  <c r="A8" i="1"/>
  <c r="A8" i="10"/>
  <c r="A7" i="1"/>
  <c r="F6" i="5"/>
  <c r="O76" i="7" s="1"/>
  <c r="G8" i="10" l="1"/>
  <c r="L8" i="10"/>
  <c r="G10" i="10"/>
  <c r="L10" i="10"/>
  <c r="G12" i="10"/>
  <c r="L12" i="10"/>
  <c r="G14" i="10"/>
  <c r="L14" i="10"/>
  <c r="G16" i="10"/>
  <c r="L16" i="10"/>
  <c r="G18" i="10"/>
  <c r="L18" i="10"/>
  <c r="G20" i="10"/>
  <c r="L20" i="10"/>
  <c r="G22" i="10"/>
  <c r="L22" i="10"/>
  <c r="G24" i="10"/>
  <c r="L24" i="10"/>
  <c r="G26" i="10"/>
  <c r="L26" i="10"/>
  <c r="K28" i="10"/>
  <c r="G28" i="10"/>
  <c r="L28" i="10"/>
  <c r="K30" i="10"/>
  <c r="G30" i="10"/>
  <c r="L30" i="10"/>
  <c r="K34" i="10"/>
  <c r="G34" i="10"/>
  <c r="L34" i="10"/>
  <c r="K36" i="10"/>
  <c r="G36" i="10"/>
  <c r="L36" i="10"/>
  <c r="K38" i="10"/>
  <c r="G38" i="10"/>
  <c r="L38" i="10"/>
  <c r="K40" i="10"/>
  <c r="G40" i="10"/>
  <c r="L40" i="10"/>
  <c r="K42" i="10"/>
  <c r="G42" i="10"/>
  <c r="L42" i="10"/>
  <c r="K44" i="10"/>
  <c r="G44" i="10"/>
  <c r="L44" i="10"/>
  <c r="K46" i="10"/>
  <c r="G46" i="10"/>
  <c r="L46" i="10"/>
  <c r="K48" i="10"/>
  <c r="G48" i="10"/>
  <c r="L48" i="10"/>
  <c r="K50" i="10"/>
  <c r="G50" i="10"/>
  <c r="L50" i="10"/>
  <c r="K52" i="10"/>
  <c r="G52" i="10"/>
  <c r="L52" i="10"/>
  <c r="K54" i="10"/>
  <c r="G54" i="10"/>
  <c r="L54" i="10"/>
  <c r="K56" i="10"/>
  <c r="G56" i="10"/>
  <c r="L56" i="10"/>
  <c r="K58" i="10"/>
  <c r="G58" i="10"/>
  <c r="L58" i="10"/>
  <c r="K60" i="10"/>
  <c r="G60" i="10"/>
  <c r="L60" i="10"/>
  <c r="K62" i="10"/>
  <c r="G62" i="10"/>
  <c r="L62" i="10"/>
  <c r="K64" i="10"/>
  <c r="G64" i="10"/>
  <c r="L64" i="10"/>
  <c r="K32" i="10"/>
  <c r="G32" i="10"/>
  <c r="L32" i="10"/>
  <c r="C32" i="8"/>
  <c r="H16" i="8"/>
  <c r="G16" i="8"/>
  <c r="E32" i="8"/>
  <c r="G32" i="8"/>
  <c r="E16" i="8"/>
  <c r="I16" i="8"/>
  <c r="C16" i="8"/>
  <c r="H32" i="8"/>
  <c r="E24" i="8"/>
  <c r="D32" i="8"/>
  <c r="F32" i="8"/>
  <c r="C24" i="8"/>
  <c r="K8" i="10"/>
  <c r="H27" i="8"/>
  <c r="K18" i="10"/>
  <c r="K10" i="10"/>
  <c r="F27" i="8"/>
  <c r="K20" i="10"/>
  <c r="K12" i="10"/>
  <c r="E27" i="8"/>
  <c r="B9" i="8"/>
  <c r="F16" i="8"/>
  <c r="B16" i="8"/>
  <c r="B24" i="8"/>
  <c r="B32" i="8"/>
  <c r="K14" i="10"/>
  <c r="K26" i="10"/>
  <c r="G19" i="8"/>
  <c r="B19" i="8"/>
  <c r="D27" i="8"/>
  <c r="B27" i="8"/>
  <c r="E35" i="8"/>
  <c r="B35" i="8"/>
  <c r="D14" i="8"/>
  <c r="J14" i="8" s="1"/>
  <c r="B14" i="8"/>
  <c r="B22" i="8"/>
  <c r="B30" i="8"/>
  <c r="K16" i="10"/>
  <c r="K22" i="10"/>
  <c r="D17" i="8"/>
  <c r="B17" i="8"/>
  <c r="C25" i="8"/>
  <c r="B25" i="8"/>
  <c r="I33" i="8"/>
  <c r="B33" i="8"/>
  <c r="B8" i="8"/>
  <c r="B12" i="8"/>
  <c r="G20" i="8"/>
  <c r="B20" i="8"/>
  <c r="H28" i="8"/>
  <c r="B28" i="8"/>
  <c r="B13" i="8"/>
  <c r="B15" i="8"/>
  <c r="E23" i="8"/>
  <c r="B23" i="8"/>
  <c r="H31" i="8"/>
  <c r="B31" i="8"/>
  <c r="B7" i="8"/>
  <c r="K24" i="10"/>
  <c r="H18" i="8"/>
  <c r="K18" i="8" s="1"/>
  <c r="B18" i="8"/>
  <c r="B26" i="8"/>
  <c r="B34" i="8"/>
  <c r="B11" i="8"/>
  <c r="F21" i="8"/>
  <c r="B21" i="8"/>
  <c r="F29" i="8"/>
  <c r="B29" i="8"/>
  <c r="B10" i="8"/>
  <c r="AE72" i="7"/>
  <c r="AE51" i="7"/>
  <c r="H73" i="7"/>
  <c r="H49" i="7"/>
  <c r="AB71" i="7"/>
  <c r="AB73" i="7"/>
  <c r="L71" i="7"/>
  <c r="L73" i="7"/>
  <c r="X76" i="7"/>
  <c r="X72" i="7"/>
  <c r="AD50" i="7"/>
  <c r="AD72" i="7"/>
  <c r="T47" i="7"/>
  <c r="T74" i="7"/>
  <c r="T75" i="7"/>
  <c r="W69" i="7"/>
  <c r="W68" i="7"/>
  <c r="G72" i="7"/>
  <c r="G51" i="7"/>
  <c r="B67" i="7"/>
  <c r="B70" i="7"/>
  <c r="Y48" i="7"/>
  <c r="Y69" i="7"/>
  <c r="I76" i="7"/>
  <c r="I69" i="7"/>
  <c r="AA66" i="7"/>
  <c r="AA71" i="7"/>
  <c r="M50" i="7"/>
  <c r="M71" i="7"/>
  <c r="F70" i="7"/>
  <c r="F66" i="7"/>
  <c r="F73" i="7"/>
  <c r="N66" i="7"/>
  <c r="N65" i="7"/>
  <c r="P50" i="7"/>
  <c r="P66" i="7"/>
  <c r="C68" i="7"/>
  <c r="C67" i="7"/>
  <c r="K51" i="7"/>
  <c r="K50" i="7"/>
  <c r="S74" i="7"/>
  <c r="S70" i="7"/>
  <c r="J74" i="7"/>
  <c r="J51" i="7"/>
  <c r="U67" i="7"/>
  <c r="U69" i="7"/>
  <c r="E50" i="7"/>
  <c r="E71" i="7"/>
  <c r="E70" i="7"/>
  <c r="R65" i="7"/>
  <c r="R68" i="7"/>
  <c r="V49" i="7"/>
  <c r="V48" i="7"/>
  <c r="D71" i="7"/>
  <c r="D70" i="7"/>
  <c r="AC72" i="7"/>
  <c r="AC76" i="7"/>
  <c r="Z71" i="7"/>
  <c r="Z67" i="7"/>
  <c r="Q68" i="7"/>
  <c r="Q47" i="7"/>
  <c r="O65" i="7"/>
  <c r="O69" i="7"/>
  <c r="AE69" i="7"/>
  <c r="AE68" i="7"/>
  <c r="H50" i="7"/>
  <c r="H66" i="7"/>
  <c r="AB51" i="7"/>
  <c r="AB70" i="7"/>
  <c r="L74" i="7"/>
  <c r="L70" i="7"/>
  <c r="X48" i="7"/>
  <c r="X70" i="7"/>
  <c r="AD67" i="7"/>
  <c r="AD71" i="7"/>
  <c r="T72" i="7"/>
  <c r="T48" i="7"/>
  <c r="W50" i="7"/>
  <c r="W67" i="7"/>
  <c r="W76" i="7"/>
  <c r="G67" i="7"/>
  <c r="G68" i="7"/>
  <c r="B48" i="7"/>
  <c r="B51" i="7"/>
  <c r="Y70" i="7"/>
  <c r="Y65" i="7"/>
  <c r="I70" i="7"/>
  <c r="I48" i="7"/>
  <c r="AA74" i="7"/>
  <c r="AA70" i="7"/>
  <c r="M67" i="7"/>
  <c r="M51" i="7"/>
  <c r="F50" i="7"/>
  <c r="F74" i="7"/>
  <c r="N47" i="7"/>
  <c r="N74" i="7"/>
  <c r="N73" i="7"/>
  <c r="P67" i="7"/>
  <c r="P74" i="7"/>
  <c r="C76" i="7"/>
  <c r="C75" i="7"/>
  <c r="K68" i="7"/>
  <c r="K67" i="7"/>
  <c r="S51" i="7"/>
  <c r="S50" i="7"/>
  <c r="J71" i="7"/>
  <c r="J50" i="7"/>
  <c r="U75" i="7"/>
  <c r="U51" i="7"/>
  <c r="E67" i="7"/>
  <c r="E69" i="7"/>
  <c r="R49" i="7"/>
  <c r="R73" i="7"/>
  <c r="R69" i="7"/>
  <c r="V66" i="7"/>
  <c r="V65" i="7"/>
  <c r="D51" i="7"/>
  <c r="D50" i="7"/>
  <c r="AC49" i="7"/>
  <c r="AC48" i="7"/>
  <c r="Z76" i="7"/>
  <c r="Z75" i="7"/>
  <c r="Q76" i="7"/>
  <c r="Q72" i="7"/>
  <c r="O73" i="7"/>
  <c r="O49" i="7"/>
  <c r="AE48" i="7"/>
  <c r="AE49" i="7"/>
  <c r="AE76" i="7"/>
  <c r="H67" i="7"/>
  <c r="H74" i="7"/>
  <c r="AB68" i="7"/>
  <c r="AB50" i="7"/>
  <c r="L51" i="7"/>
  <c r="L49" i="7"/>
  <c r="X65" i="7"/>
  <c r="X69" i="7"/>
  <c r="AD75" i="7"/>
  <c r="AD51" i="7"/>
  <c r="T69" i="7"/>
  <c r="T65" i="7"/>
  <c r="W48" i="7"/>
  <c r="W49" i="7"/>
  <c r="G48" i="7"/>
  <c r="G69" i="7"/>
  <c r="G76" i="7"/>
  <c r="B68" i="7"/>
  <c r="B71" i="7"/>
  <c r="Y73" i="7"/>
  <c r="Y49" i="7"/>
  <c r="I65" i="7"/>
  <c r="I47" i="7"/>
  <c r="AA51" i="7"/>
  <c r="AA50" i="7"/>
  <c r="M75" i="7"/>
  <c r="M68" i="7"/>
  <c r="F67" i="7"/>
  <c r="F71" i="7"/>
  <c r="N70" i="7"/>
  <c r="N72" i="7"/>
  <c r="P51" i="7"/>
  <c r="P75" i="7"/>
  <c r="P71" i="7"/>
  <c r="C71" i="7"/>
  <c r="C47" i="7"/>
  <c r="K76" i="7"/>
  <c r="K75" i="7"/>
  <c r="S68" i="7"/>
  <c r="S67" i="7"/>
  <c r="J48" i="7"/>
  <c r="J67" i="7"/>
  <c r="U47" i="7"/>
  <c r="U68" i="7"/>
  <c r="E75" i="7"/>
  <c r="E51" i="7"/>
  <c r="R66" i="7"/>
  <c r="R70" i="7"/>
  <c r="V70" i="7"/>
  <c r="V74" i="7"/>
  <c r="V73" i="7"/>
  <c r="D68" i="7"/>
  <c r="D67" i="7"/>
  <c r="AC66" i="7"/>
  <c r="AC65" i="7"/>
  <c r="Z48" i="7"/>
  <c r="Z68" i="7"/>
  <c r="Q70" i="7"/>
  <c r="Q65" i="7"/>
  <c r="O67" i="7"/>
  <c r="O66" i="7"/>
  <c r="I35" i="8"/>
  <c r="F19" i="8"/>
  <c r="AE65" i="7"/>
  <c r="AE66" i="7"/>
  <c r="H51" i="7"/>
  <c r="H75" i="7"/>
  <c r="H71" i="7"/>
  <c r="AB76" i="7"/>
  <c r="AB67" i="7"/>
  <c r="L68" i="7"/>
  <c r="L50" i="7"/>
  <c r="X73" i="7"/>
  <c r="X49" i="7"/>
  <c r="AD69" i="7"/>
  <c r="AD68" i="7"/>
  <c r="T71" i="7"/>
  <c r="T73" i="7"/>
  <c r="W65" i="7"/>
  <c r="W66" i="7"/>
  <c r="G65" i="7"/>
  <c r="G75" i="7"/>
  <c r="B65" i="7"/>
  <c r="B76" i="7"/>
  <c r="B72" i="7"/>
  <c r="Y50" i="7"/>
  <c r="Y66" i="7"/>
  <c r="I73" i="7"/>
  <c r="I49" i="7"/>
  <c r="AA68" i="7"/>
  <c r="AA67" i="7"/>
  <c r="M47" i="7"/>
  <c r="M76" i="7"/>
  <c r="F75" i="7"/>
  <c r="F51" i="7"/>
  <c r="N50" i="7"/>
  <c r="N71" i="7"/>
  <c r="P68" i="7"/>
  <c r="P70" i="7"/>
  <c r="C69" i="7"/>
  <c r="C48" i="7"/>
  <c r="C72" i="7"/>
  <c r="K48" i="7"/>
  <c r="K47" i="7"/>
  <c r="S76" i="7"/>
  <c r="S75" i="7"/>
  <c r="J65" i="7"/>
  <c r="J75" i="7"/>
  <c r="U72" i="7"/>
  <c r="U76" i="7"/>
  <c r="E47" i="7"/>
  <c r="E68" i="7"/>
  <c r="R74" i="7"/>
  <c r="R50" i="7"/>
  <c r="V50" i="7"/>
  <c r="V71" i="7"/>
  <c r="D66" i="7"/>
  <c r="D76" i="7"/>
  <c r="D75" i="7"/>
  <c r="AC74" i="7"/>
  <c r="AC73" i="7"/>
  <c r="Z65" i="7"/>
  <c r="Z47" i="7"/>
  <c r="Q48" i="7"/>
  <c r="Q69" i="7"/>
  <c r="O75" i="7"/>
  <c r="O74" i="7"/>
  <c r="E19" i="8"/>
  <c r="AE73" i="7"/>
  <c r="AE74" i="7"/>
  <c r="H68" i="7"/>
  <c r="H47" i="7"/>
  <c r="AB74" i="7"/>
  <c r="AB49" i="7"/>
  <c r="AB75" i="7"/>
  <c r="L76" i="7"/>
  <c r="L67" i="7"/>
  <c r="X50" i="7"/>
  <c r="X66" i="7"/>
  <c r="AD49" i="7"/>
  <c r="AD76" i="7"/>
  <c r="T66" i="7"/>
  <c r="T49" i="7"/>
  <c r="W73" i="7"/>
  <c r="W74" i="7"/>
  <c r="G73" i="7"/>
  <c r="G49" i="7"/>
  <c r="B73" i="7"/>
  <c r="B49" i="7"/>
  <c r="Y71" i="7"/>
  <c r="Y67" i="7"/>
  <c r="Y74" i="7"/>
  <c r="I50" i="7"/>
  <c r="I66" i="7"/>
  <c r="AA76" i="7"/>
  <c r="AA75" i="7"/>
  <c r="M72" i="7"/>
  <c r="M48" i="7"/>
  <c r="F69" i="7"/>
  <c r="F68" i="7"/>
  <c r="N67" i="7"/>
  <c r="N51" i="7"/>
  <c r="P76" i="7"/>
  <c r="P47" i="7"/>
  <c r="C49" i="7"/>
  <c r="C65" i="7"/>
  <c r="K69" i="7"/>
  <c r="K65" i="7"/>
  <c r="K72" i="7"/>
  <c r="S71" i="7"/>
  <c r="S47" i="7"/>
  <c r="J73" i="7"/>
  <c r="J47" i="7"/>
  <c r="U49" i="7"/>
  <c r="U48" i="7"/>
  <c r="E72" i="7"/>
  <c r="E76" i="7"/>
  <c r="R51" i="7"/>
  <c r="R67" i="7"/>
  <c r="V67" i="7"/>
  <c r="V47" i="7"/>
  <c r="D47" i="7"/>
  <c r="D74" i="7"/>
  <c r="AC50" i="7"/>
  <c r="AC69" i="7"/>
  <c r="AC70" i="7"/>
  <c r="Z73" i="7"/>
  <c r="Z72" i="7"/>
  <c r="Q50" i="7"/>
  <c r="Q49" i="7"/>
  <c r="O70" i="7"/>
  <c r="O71" i="7"/>
  <c r="H35" i="8"/>
  <c r="G27" i="8"/>
  <c r="AE70" i="7"/>
  <c r="AE71" i="7"/>
  <c r="H76" i="7"/>
  <c r="H72" i="7"/>
  <c r="AB47" i="7"/>
  <c r="AB66" i="7"/>
  <c r="L72" i="7"/>
  <c r="L66" i="7"/>
  <c r="L75" i="7"/>
  <c r="X67" i="7"/>
  <c r="X74" i="7"/>
  <c r="AD66" i="7"/>
  <c r="AD48" i="7"/>
  <c r="T51" i="7"/>
  <c r="T70" i="7"/>
  <c r="W70" i="7"/>
  <c r="W75" i="7"/>
  <c r="G70" i="7"/>
  <c r="G66" i="7"/>
  <c r="B66" i="7"/>
  <c r="B69" i="7"/>
  <c r="Y51" i="7"/>
  <c r="Y75" i="7"/>
  <c r="I71" i="7"/>
  <c r="I67" i="7"/>
  <c r="I74" i="7"/>
  <c r="AA48" i="7"/>
  <c r="AA47" i="7"/>
  <c r="M49" i="7"/>
  <c r="M65" i="7"/>
  <c r="F47" i="7"/>
  <c r="F76" i="7"/>
  <c r="N75" i="7"/>
  <c r="N68" i="7"/>
  <c r="P48" i="7"/>
  <c r="P72" i="7"/>
  <c r="C66" i="7"/>
  <c r="C73" i="7"/>
  <c r="K49" i="7"/>
  <c r="K73" i="7"/>
  <c r="S69" i="7"/>
  <c r="S48" i="7"/>
  <c r="S72" i="7"/>
  <c r="J68" i="7"/>
  <c r="J72" i="7"/>
  <c r="U66" i="7"/>
  <c r="U65" i="7"/>
  <c r="E49" i="7"/>
  <c r="E48" i="7"/>
  <c r="R71" i="7"/>
  <c r="R75" i="7"/>
  <c r="V75" i="7"/>
  <c r="V51" i="7"/>
  <c r="D72" i="7"/>
  <c r="D48" i="7"/>
  <c r="AC67" i="7"/>
  <c r="AC71" i="7"/>
  <c r="Z49" i="7"/>
  <c r="Z51" i="7"/>
  <c r="Z69" i="7"/>
  <c r="Q67" i="7"/>
  <c r="Q66" i="7"/>
  <c r="O47" i="7"/>
  <c r="O51" i="7"/>
  <c r="C19" i="8"/>
  <c r="G35" i="8"/>
  <c r="D19" i="8"/>
  <c r="C35" i="8"/>
  <c r="H19" i="8"/>
  <c r="D35" i="8"/>
  <c r="AE67" i="7"/>
  <c r="AE50" i="7"/>
  <c r="H48" i="7"/>
  <c r="H70" i="7"/>
  <c r="AB72" i="7"/>
  <c r="AB48" i="7"/>
  <c r="L47" i="7"/>
  <c r="L48" i="7"/>
  <c r="X51" i="7"/>
  <c r="X75" i="7"/>
  <c r="X71" i="7"/>
  <c r="AD74" i="7"/>
  <c r="AD65" i="7"/>
  <c r="T68" i="7"/>
  <c r="T50" i="7"/>
  <c r="W47" i="7"/>
  <c r="W71" i="7"/>
  <c r="G50" i="7"/>
  <c r="G74" i="7"/>
  <c r="B74" i="7"/>
  <c r="B75" i="7"/>
  <c r="Y68" i="7"/>
  <c r="Y72" i="7"/>
  <c r="I51" i="7"/>
  <c r="I75" i="7"/>
  <c r="AA69" i="7"/>
  <c r="AA65" i="7"/>
  <c r="AA72" i="7"/>
  <c r="M66" i="7"/>
  <c r="M73" i="7"/>
  <c r="F72" i="7"/>
  <c r="F48" i="7"/>
  <c r="N69" i="7"/>
  <c r="N76" i="7"/>
  <c r="P65" i="7"/>
  <c r="P69" i="7"/>
  <c r="C74" i="7"/>
  <c r="C70" i="7"/>
  <c r="K66" i="7"/>
  <c r="K71" i="7"/>
  <c r="S49" i="7"/>
  <c r="S65" i="7"/>
  <c r="J49" i="7"/>
  <c r="J76" i="7"/>
  <c r="J69" i="7"/>
  <c r="U74" i="7"/>
  <c r="U73" i="7"/>
  <c r="E66" i="7"/>
  <c r="E65" i="7"/>
  <c r="R76" i="7"/>
  <c r="R47" i="7"/>
  <c r="V69" i="7"/>
  <c r="V68" i="7"/>
  <c r="D49" i="7"/>
  <c r="D65" i="7"/>
  <c r="AC75" i="7"/>
  <c r="AC51" i="7"/>
  <c r="Z66" i="7"/>
  <c r="Z70" i="7"/>
  <c r="Q71" i="7"/>
  <c r="Q75" i="7"/>
  <c r="Q74" i="7"/>
  <c r="O72" i="7"/>
  <c r="O68" i="7"/>
  <c r="C27" i="8"/>
  <c r="AE47" i="7"/>
  <c r="AE75" i="7"/>
  <c r="H65" i="7"/>
  <c r="H69" i="7"/>
  <c r="AB69" i="7"/>
  <c r="AB65" i="7"/>
  <c r="L69" i="7"/>
  <c r="L65" i="7"/>
  <c r="X68" i="7"/>
  <c r="X47" i="7"/>
  <c r="AD70" i="7"/>
  <c r="AD47" i="7"/>
  <c r="AD73" i="7"/>
  <c r="T76" i="7"/>
  <c r="T67" i="7"/>
  <c r="W72" i="7"/>
  <c r="W51" i="7"/>
  <c r="G47" i="7"/>
  <c r="G71" i="7"/>
  <c r="B47" i="7"/>
  <c r="B50" i="7"/>
  <c r="Y76" i="7"/>
  <c r="Y47" i="7"/>
  <c r="I68" i="7"/>
  <c r="I72" i="7"/>
  <c r="AA49" i="7"/>
  <c r="AA73" i="7"/>
  <c r="M69" i="7"/>
  <c r="M74" i="7"/>
  <c r="M70" i="7"/>
  <c r="F49" i="7"/>
  <c r="F65" i="7"/>
  <c r="N49" i="7"/>
  <c r="N48" i="7"/>
  <c r="P73" i="7"/>
  <c r="P49" i="7"/>
  <c r="C51" i="7"/>
  <c r="C50" i="7"/>
  <c r="K74" i="7"/>
  <c r="K70" i="7"/>
  <c r="S66" i="7"/>
  <c r="S73" i="7"/>
  <c r="J66" i="7"/>
  <c r="J70" i="7"/>
  <c r="U50" i="7"/>
  <c r="U71" i="7"/>
  <c r="U70" i="7"/>
  <c r="E74" i="7"/>
  <c r="E73" i="7"/>
  <c r="R48" i="7"/>
  <c r="R72" i="7"/>
  <c r="V72" i="7"/>
  <c r="V76" i="7"/>
  <c r="D69" i="7"/>
  <c r="D73" i="7"/>
  <c r="AC47" i="7"/>
  <c r="AC68" i="7"/>
  <c r="Z74" i="7"/>
  <c r="Z50" i="7"/>
  <c r="Q51" i="7"/>
  <c r="Q73" i="7"/>
  <c r="O48" i="7"/>
  <c r="O50" i="7"/>
  <c r="O25" i="10"/>
  <c r="Q21" i="10"/>
  <c r="O27" i="10"/>
  <c r="Q19" i="10"/>
  <c r="O17" i="10"/>
  <c r="Q29" i="10"/>
  <c r="Q31" i="10"/>
  <c r="Q33" i="10"/>
  <c r="P35" i="10"/>
  <c r="O37" i="10"/>
  <c r="P39" i="10"/>
  <c r="Q41" i="10"/>
  <c r="Q43" i="10"/>
  <c r="O45" i="10"/>
  <c r="P47" i="10"/>
  <c r="O49" i="10"/>
  <c r="P51" i="10"/>
  <c r="Q53" i="10"/>
  <c r="Q55" i="10"/>
  <c r="O57" i="10"/>
  <c r="O59" i="10"/>
  <c r="P61" i="10"/>
  <c r="P63" i="10"/>
  <c r="Q65" i="10"/>
  <c r="P37" i="10"/>
  <c r="P57" i="10"/>
  <c r="D29" i="8"/>
  <c r="O43" i="10"/>
  <c r="P27" i="10"/>
  <c r="Q63" i="10"/>
  <c r="Q17" i="10"/>
  <c r="P49" i="10"/>
  <c r="P25" i="10"/>
  <c r="O55" i="10"/>
  <c r="O53" i="10"/>
  <c r="Q49" i="10"/>
  <c r="Q61" i="10"/>
  <c r="O35" i="10"/>
  <c r="O31" i="10"/>
  <c r="O19" i="10"/>
  <c r="O63" i="10"/>
  <c r="Q47" i="10"/>
  <c r="O33" i="10"/>
  <c r="Q45" i="10"/>
  <c r="P59" i="10"/>
  <c r="P55" i="10"/>
  <c r="Q39" i="10"/>
  <c r="P29" i="10"/>
  <c r="Q35" i="10"/>
  <c r="Q25" i="10"/>
  <c r="P17" i="10"/>
  <c r="P53" i="10"/>
  <c r="Q37" i="10"/>
  <c r="O21" i="10"/>
  <c r="O65" i="10"/>
  <c r="Q59" i="10"/>
  <c r="P45" i="10"/>
  <c r="E28" i="8"/>
  <c r="P41" i="10"/>
  <c r="P31" i="10"/>
  <c r="O56" i="10"/>
  <c r="Q57" i="10"/>
  <c r="P43" i="10"/>
  <c r="Q27" i="10"/>
  <c r="P21" i="10"/>
  <c r="P65" i="10"/>
  <c r="O51" i="10"/>
  <c r="O47" i="10"/>
  <c r="P19" i="10"/>
  <c r="P33" i="10"/>
  <c r="O29" i="10"/>
  <c r="O41" i="10"/>
  <c r="Q51" i="10"/>
  <c r="O39" i="10"/>
  <c r="O61" i="10"/>
  <c r="Q9" i="10"/>
  <c r="P9" i="10"/>
  <c r="O9" i="10"/>
  <c r="Q8" i="10"/>
  <c r="P8" i="10"/>
  <c r="O8" i="10"/>
  <c r="R8" i="10"/>
  <c r="Q11" i="10"/>
  <c r="P11" i="10"/>
  <c r="O11" i="10"/>
  <c r="Q12" i="10"/>
  <c r="Q13" i="10"/>
  <c r="P13" i="10"/>
  <c r="O13" i="10"/>
  <c r="Q15" i="10"/>
  <c r="P15" i="10"/>
  <c r="O15" i="10"/>
  <c r="Q23" i="10"/>
  <c r="P23" i="10"/>
  <c r="O23" i="10"/>
  <c r="R12" i="10"/>
  <c r="O12" i="10"/>
  <c r="P12" i="10"/>
  <c r="R10" i="10"/>
  <c r="Q10" i="10"/>
  <c r="P10" i="10"/>
  <c r="O10" i="10"/>
  <c r="R64" i="10"/>
  <c r="Q64" i="10"/>
  <c r="P64" i="10"/>
  <c r="O64" i="10"/>
  <c r="J64" i="10"/>
  <c r="M64" i="10"/>
  <c r="I64" i="10"/>
  <c r="H64" i="10"/>
  <c r="F64" i="10"/>
  <c r="D64" i="10"/>
  <c r="C64" i="10"/>
  <c r="E64" i="10"/>
  <c r="R62" i="10"/>
  <c r="O62" i="10"/>
  <c r="Q62" i="10"/>
  <c r="P62" i="10"/>
  <c r="E62" i="10"/>
  <c r="M62" i="10"/>
  <c r="D62" i="10"/>
  <c r="C62" i="10"/>
  <c r="J62" i="10"/>
  <c r="I62" i="10"/>
  <c r="F62" i="10"/>
  <c r="H62" i="10"/>
  <c r="R60" i="10"/>
  <c r="Q60" i="10"/>
  <c r="P60" i="10"/>
  <c r="O60" i="10"/>
  <c r="H60" i="10"/>
  <c r="I60" i="10"/>
  <c r="F60" i="10"/>
  <c r="E60" i="10"/>
  <c r="C60" i="10"/>
  <c r="M60" i="10"/>
  <c r="D60" i="10"/>
  <c r="J60" i="10"/>
  <c r="R58" i="10"/>
  <c r="O58" i="10"/>
  <c r="Q58" i="10"/>
  <c r="P58" i="10"/>
  <c r="H58" i="10"/>
  <c r="F58" i="10"/>
  <c r="E58" i="10"/>
  <c r="M58" i="10"/>
  <c r="D58" i="10"/>
  <c r="C58" i="10"/>
  <c r="J58" i="10"/>
  <c r="I58" i="10"/>
  <c r="R56" i="10"/>
  <c r="Q56" i="10"/>
  <c r="P56" i="10"/>
  <c r="J56" i="10"/>
  <c r="I56" i="10"/>
  <c r="H56" i="10"/>
  <c r="M56" i="10"/>
  <c r="C56" i="10"/>
  <c r="F56" i="10"/>
  <c r="E56" i="10"/>
  <c r="D56" i="10"/>
  <c r="R54" i="10"/>
  <c r="O54" i="10"/>
  <c r="Q54" i="10"/>
  <c r="P54" i="10"/>
  <c r="E54" i="10"/>
  <c r="M54" i="10"/>
  <c r="D54" i="10"/>
  <c r="C54" i="10"/>
  <c r="I54" i="10"/>
  <c r="H54" i="10"/>
  <c r="J54" i="10"/>
  <c r="F54" i="10"/>
  <c r="R52" i="10"/>
  <c r="Q52" i="10"/>
  <c r="P52" i="10"/>
  <c r="O52" i="10"/>
  <c r="F52" i="10"/>
  <c r="D52" i="10"/>
  <c r="C52" i="10"/>
  <c r="E52" i="10"/>
  <c r="H52" i="10"/>
  <c r="M52" i="10"/>
  <c r="J52" i="10"/>
  <c r="I52" i="10"/>
  <c r="O50" i="10"/>
  <c r="R50" i="10"/>
  <c r="Q50" i="10"/>
  <c r="P50" i="10"/>
  <c r="H50" i="10"/>
  <c r="F50" i="10"/>
  <c r="E50" i="10"/>
  <c r="J50" i="10"/>
  <c r="I50" i="10"/>
  <c r="M50" i="10"/>
  <c r="D50" i="10"/>
  <c r="C50" i="10"/>
  <c r="R48" i="10"/>
  <c r="Q48" i="10"/>
  <c r="P48" i="10"/>
  <c r="O48" i="10"/>
  <c r="M48" i="10"/>
  <c r="D48" i="10"/>
  <c r="I48" i="10"/>
  <c r="H48" i="10"/>
  <c r="C48" i="10"/>
  <c r="J48" i="10"/>
  <c r="F48" i="10"/>
  <c r="E48" i="10"/>
  <c r="O46" i="10"/>
  <c r="R46" i="10"/>
  <c r="P46" i="10"/>
  <c r="Q46" i="10"/>
  <c r="F46" i="10"/>
  <c r="H46" i="10"/>
  <c r="E46" i="10"/>
  <c r="M46" i="10"/>
  <c r="D46" i="10"/>
  <c r="C46" i="10"/>
  <c r="J46" i="10"/>
  <c r="I46" i="10"/>
  <c r="R44" i="10"/>
  <c r="Q44" i="10"/>
  <c r="P44" i="10"/>
  <c r="O44" i="10"/>
  <c r="E44" i="10"/>
  <c r="C44" i="10"/>
  <c r="M44" i="10"/>
  <c r="D44" i="10"/>
  <c r="J44" i="10"/>
  <c r="F44" i="10"/>
  <c r="I44" i="10"/>
  <c r="H44" i="10"/>
  <c r="R42" i="10"/>
  <c r="Q42" i="10"/>
  <c r="P42" i="10"/>
  <c r="O42" i="10"/>
  <c r="J42" i="10"/>
  <c r="H42" i="10"/>
  <c r="I42" i="10"/>
  <c r="F42" i="10"/>
  <c r="E42" i="10"/>
  <c r="C42" i="10"/>
  <c r="M42" i="10"/>
  <c r="D42" i="10"/>
  <c r="R40" i="10"/>
  <c r="Q40" i="10"/>
  <c r="P40" i="10"/>
  <c r="O40" i="10"/>
  <c r="M40" i="10"/>
  <c r="D40" i="10"/>
  <c r="C40" i="10"/>
  <c r="J40" i="10"/>
  <c r="H40" i="10"/>
  <c r="I40" i="10"/>
  <c r="E40" i="10"/>
  <c r="F40" i="10"/>
  <c r="O38" i="10"/>
  <c r="R38" i="10"/>
  <c r="Q38" i="10"/>
  <c r="P38" i="10"/>
  <c r="F38" i="10"/>
  <c r="M38" i="10"/>
  <c r="D38" i="10"/>
  <c r="J38" i="10"/>
  <c r="C38" i="10"/>
  <c r="I38" i="10"/>
  <c r="E38" i="10"/>
  <c r="H38" i="10"/>
  <c r="R36" i="10"/>
  <c r="Q36" i="10"/>
  <c r="P36" i="10"/>
  <c r="O36" i="10"/>
  <c r="H36" i="10"/>
  <c r="F36" i="10"/>
  <c r="E36" i="10"/>
  <c r="M36" i="10"/>
  <c r="D36" i="10"/>
  <c r="C36" i="10"/>
  <c r="I36" i="10"/>
  <c r="J36" i="10"/>
  <c r="R34" i="10"/>
  <c r="Q34" i="10"/>
  <c r="P34" i="10"/>
  <c r="O34" i="10"/>
  <c r="J34" i="10"/>
  <c r="I34" i="10"/>
  <c r="H34" i="10"/>
  <c r="F34" i="10"/>
  <c r="E34" i="10"/>
  <c r="M34" i="10"/>
  <c r="D34" i="10"/>
  <c r="C34" i="10"/>
  <c r="R32" i="10"/>
  <c r="Q32" i="10"/>
  <c r="P32" i="10"/>
  <c r="O32" i="10"/>
  <c r="M32" i="10"/>
  <c r="D32" i="10"/>
  <c r="C32" i="10"/>
  <c r="E32" i="10"/>
  <c r="J32" i="10"/>
  <c r="I32" i="10"/>
  <c r="H32" i="10"/>
  <c r="F32" i="10"/>
  <c r="P30" i="10"/>
  <c r="R30" i="10"/>
  <c r="Q30" i="10"/>
  <c r="O30" i="10"/>
  <c r="M30" i="10"/>
  <c r="D30" i="10"/>
  <c r="C30" i="10"/>
  <c r="J30" i="10"/>
  <c r="F30" i="10"/>
  <c r="I30" i="10"/>
  <c r="H30" i="10"/>
  <c r="E30" i="10"/>
  <c r="R28" i="10"/>
  <c r="Q28" i="10"/>
  <c r="P28" i="10"/>
  <c r="O28" i="10"/>
  <c r="D28" i="10"/>
  <c r="F28" i="10"/>
  <c r="E28" i="10"/>
  <c r="M28" i="10"/>
  <c r="I28" i="10"/>
  <c r="C28" i="10"/>
  <c r="J28" i="10"/>
  <c r="H28" i="10"/>
  <c r="O26" i="10"/>
  <c r="R26" i="10"/>
  <c r="P26" i="10"/>
  <c r="Q26" i="10"/>
  <c r="J26" i="10"/>
  <c r="C26" i="10"/>
  <c r="I26" i="10"/>
  <c r="D26" i="10"/>
  <c r="H26" i="10"/>
  <c r="F26" i="10"/>
  <c r="M26" i="10"/>
  <c r="E26" i="10"/>
  <c r="R24" i="10"/>
  <c r="Q24" i="10"/>
  <c r="P24" i="10"/>
  <c r="O24" i="10"/>
  <c r="M24" i="10"/>
  <c r="D24" i="10"/>
  <c r="J24" i="10"/>
  <c r="E24" i="10"/>
  <c r="C24" i="10"/>
  <c r="I24" i="10"/>
  <c r="H24" i="10"/>
  <c r="F24" i="10"/>
  <c r="R22" i="10"/>
  <c r="Q22" i="10"/>
  <c r="O22" i="10"/>
  <c r="P22" i="10"/>
  <c r="F22" i="10"/>
  <c r="E22" i="10"/>
  <c r="M22" i="10"/>
  <c r="D22" i="10"/>
  <c r="C22" i="10"/>
  <c r="I22" i="10"/>
  <c r="J22" i="10"/>
  <c r="H22" i="10"/>
  <c r="R20" i="10"/>
  <c r="Q20" i="10"/>
  <c r="P20" i="10"/>
  <c r="O20" i="10"/>
  <c r="H20" i="10"/>
  <c r="I20" i="10"/>
  <c r="F20" i="10"/>
  <c r="E20" i="10"/>
  <c r="M20" i="10"/>
  <c r="D20" i="10"/>
  <c r="J20" i="10"/>
  <c r="C20" i="10"/>
  <c r="O18" i="10"/>
  <c r="R18" i="10"/>
  <c r="Q18" i="10"/>
  <c r="P18" i="10"/>
  <c r="J18" i="10"/>
  <c r="I18" i="10"/>
  <c r="H18" i="10"/>
  <c r="F18" i="10"/>
  <c r="E18" i="10"/>
  <c r="M18" i="10"/>
  <c r="D18" i="10"/>
  <c r="C18" i="10"/>
  <c r="R16" i="10"/>
  <c r="Q16" i="10"/>
  <c r="P16" i="10"/>
  <c r="O16" i="10"/>
  <c r="M16" i="10"/>
  <c r="D16" i="10"/>
  <c r="J16" i="10"/>
  <c r="I16" i="10"/>
  <c r="E16" i="10"/>
  <c r="H16" i="10"/>
  <c r="C16" i="10"/>
  <c r="F16" i="10"/>
  <c r="P14" i="10"/>
  <c r="O14" i="10"/>
  <c r="Q14" i="10"/>
  <c r="R14" i="10"/>
  <c r="M14" i="10"/>
  <c r="D14" i="10"/>
  <c r="C14" i="10"/>
  <c r="J14" i="10"/>
  <c r="I14" i="10"/>
  <c r="F14" i="10"/>
  <c r="E14" i="10"/>
  <c r="H14" i="10"/>
  <c r="E12" i="10"/>
  <c r="M12" i="10"/>
  <c r="D12" i="10"/>
  <c r="C12" i="10"/>
  <c r="J12" i="10"/>
  <c r="I12" i="10"/>
  <c r="H12" i="10"/>
  <c r="F12" i="10"/>
  <c r="E10" i="10"/>
  <c r="M10" i="10"/>
  <c r="D10" i="10"/>
  <c r="C10" i="10"/>
  <c r="J10" i="10"/>
  <c r="I10" i="10"/>
  <c r="H10" i="10"/>
  <c r="F10" i="10"/>
  <c r="B62" i="10"/>
  <c r="B46" i="10"/>
  <c r="B30" i="10"/>
  <c r="B14" i="10"/>
  <c r="B8" i="10"/>
  <c r="B56" i="10"/>
  <c r="B40" i="10"/>
  <c r="B24" i="10"/>
  <c r="J8" i="10"/>
  <c r="B50" i="10"/>
  <c r="B34" i="10"/>
  <c r="B18" i="10"/>
  <c r="I8" i="10"/>
  <c r="B60" i="10"/>
  <c r="B44" i="10"/>
  <c r="B28" i="10"/>
  <c r="B12" i="10"/>
  <c r="B54" i="10"/>
  <c r="B38" i="10"/>
  <c r="B22" i="10"/>
  <c r="F8" i="10"/>
  <c r="B64" i="10"/>
  <c r="B48" i="10"/>
  <c r="B32" i="10"/>
  <c r="B16" i="10"/>
  <c r="E8" i="10"/>
  <c r="B58" i="10"/>
  <c r="B42" i="10"/>
  <c r="B26" i="10"/>
  <c r="B10" i="10"/>
  <c r="D8" i="10"/>
  <c r="B52" i="10"/>
  <c r="B36" i="10"/>
  <c r="B20" i="10"/>
  <c r="M8" i="10"/>
  <c r="C8" i="10"/>
  <c r="H8" i="10"/>
  <c r="D35" i="1"/>
  <c r="H20" i="8"/>
  <c r="I20" i="8"/>
  <c r="C20" i="8"/>
  <c r="D20" i="8"/>
  <c r="F20" i="8"/>
  <c r="E20" i="8"/>
  <c r="G28" i="8"/>
  <c r="I28" i="8"/>
  <c r="C28" i="8"/>
  <c r="D28" i="8"/>
  <c r="F28" i="8"/>
  <c r="I31" i="8"/>
  <c r="K31" i="8" s="1"/>
  <c r="E29" i="8"/>
  <c r="C21" i="8"/>
  <c r="J18" i="8"/>
  <c r="C29" i="8"/>
  <c r="G21" i="8"/>
  <c r="H21" i="8"/>
  <c r="H29" i="8"/>
  <c r="G29" i="8"/>
  <c r="E21" i="8"/>
  <c r="I21" i="8"/>
  <c r="I29" i="8"/>
  <c r="K26" i="8"/>
  <c r="J22" i="8"/>
  <c r="F25" i="8"/>
  <c r="G25" i="8"/>
  <c r="K10" i="8"/>
  <c r="J7" i="8"/>
  <c r="K34" i="8"/>
  <c r="K7" i="8"/>
  <c r="F10" i="1"/>
  <c r="J16" i="1"/>
  <c r="E23" i="1"/>
  <c r="H29" i="1"/>
  <c r="B9" i="1"/>
  <c r="D12" i="1"/>
  <c r="G18" i="1"/>
  <c r="K24" i="1"/>
  <c r="C31" i="1"/>
  <c r="H18" i="1"/>
  <c r="I10" i="1"/>
  <c r="D17" i="1"/>
  <c r="G23" i="1"/>
  <c r="K29" i="1"/>
  <c r="H10" i="1"/>
  <c r="F12" i="1"/>
  <c r="J18" i="1"/>
  <c r="E25" i="1"/>
  <c r="H31" i="1"/>
  <c r="H22" i="1"/>
  <c r="D14" i="1"/>
  <c r="G20" i="1"/>
  <c r="K26" i="1"/>
  <c r="C33" i="1"/>
  <c r="E10" i="1"/>
  <c r="H16" i="1"/>
  <c r="B23" i="1"/>
  <c r="F29" i="1"/>
  <c r="J35" i="1"/>
  <c r="D11" i="1"/>
  <c r="G17" i="1"/>
  <c r="K23" i="1"/>
  <c r="C30" i="1"/>
  <c r="E11" i="1"/>
  <c r="H17" i="1"/>
  <c r="B24" i="1"/>
  <c r="F30" i="1"/>
  <c r="F15" i="1"/>
  <c r="K12" i="1"/>
  <c r="C19" i="1"/>
  <c r="I25" i="1"/>
  <c r="D32" i="1"/>
  <c r="E24" i="1"/>
  <c r="G11" i="1"/>
  <c r="K17" i="1"/>
  <c r="C24" i="1"/>
  <c r="I30" i="1"/>
  <c r="E16" i="1"/>
  <c r="E13" i="1"/>
  <c r="H19" i="1"/>
  <c r="B26" i="1"/>
  <c r="F32" i="1"/>
  <c r="B29" i="1"/>
  <c r="K14" i="1"/>
  <c r="C21" i="1"/>
  <c r="I27" i="1"/>
  <c r="D34" i="1"/>
  <c r="B11" i="1"/>
  <c r="F17" i="1"/>
  <c r="J23" i="1"/>
  <c r="E30" i="1"/>
  <c r="E12" i="1"/>
  <c r="K11" i="1"/>
  <c r="C18" i="1"/>
  <c r="I24" i="1"/>
  <c r="D31" i="1"/>
  <c r="J9" i="1"/>
  <c r="B12" i="1"/>
  <c r="F18" i="1"/>
  <c r="J24" i="1"/>
  <c r="E31" i="1"/>
  <c r="B21" i="1"/>
  <c r="I13" i="1"/>
  <c r="D20" i="1"/>
  <c r="G26" i="1"/>
  <c r="K32" i="1"/>
  <c r="E28" i="1"/>
  <c r="C12" i="1"/>
  <c r="I18" i="1"/>
  <c r="D25" i="1"/>
  <c r="G31" i="1"/>
  <c r="J21" i="1"/>
  <c r="B14" i="1"/>
  <c r="F20" i="1"/>
  <c r="J26" i="1"/>
  <c r="E33" i="1"/>
  <c r="C9" i="1"/>
  <c r="I15" i="1"/>
  <c r="D22" i="1"/>
  <c r="G28" i="1"/>
  <c r="K34" i="1"/>
  <c r="J11" i="1"/>
  <c r="E18" i="1"/>
  <c r="H24" i="1"/>
  <c r="B31" i="1"/>
  <c r="J17" i="1"/>
  <c r="I12" i="1"/>
  <c r="D19" i="1"/>
  <c r="G25" i="1"/>
  <c r="K31" i="1"/>
  <c r="H14" i="1"/>
  <c r="J12" i="1"/>
  <c r="E19" i="1"/>
  <c r="H25" i="1"/>
  <c r="B32" i="1"/>
  <c r="J25" i="1"/>
  <c r="G14" i="1"/>
  <c r="K20" i="1"/>
  <c r="C27" i="1"/>
  <c r="I33" i="1"/>
  <c r="H30" i="1"/>
  <c r="D13" i="1"/>
  <c r="G19" i="1"/>
  <c r="K25" i="1"/>
  <c r="C32" i="1"/>
  <c r="J29" i="1"/>
  <c r="J14" i="1"/>
  <c r="E21" i="1"/>
  <c r="H27" i="1"/>
  <c r="B34" i="1"/>
  <c r="D10" i="1"/>
  <c r="G16" i="1"/>
  <c r="K22" i="1"/>
  <c r="C29" i="1"/>
  <c r="I35" i="1"/>
  <c r="H12" i="1"/>
  <c r="B19" i="1"/>
  <c r="F25" i="1"/>
  <c r="J31" i="1"/>
  <c r="F23" i="1"/>
  <c r="G13" i="1"/>
  <c r="K19" i="1"/>
  <c r="C26" i="1"/>
  <c r="I32" i="1"/>
  <c r="E20" i="1"/>
  <c r="H13" i="1"/>
  <c r="B20" i="1"/>
  <c r="F26" i="1"/>
  <c r="J32" i="1"/>
  <c r="B33" i="1"/>
  <c r="C15" i="1"/>
  <c r="I21" i="1"/>
  <c r="D28" i="1"/>
  <c r="G34" i="1"/>
  <c r="E32" i="1"/>
  <c r="K13" i="1"/>
  <c r="C20" i="1"/>
  <c r="I26" i="1"/>
  <c r="D33" i="1"/>
  <c r="E9" i="1"/>
  <c r="H15" i="1"/>
  <c r="B22" i="1"/>
  <c r="F28" i="1"/>
  <c r="J34" i="1"/>
  <c r="K10" i="1"/>
  <c r="C17" i="1"/>
  <c r="I23" i="1"/>
  <c r="D30" i="1"/>
  <c r="J13" i="1"/>
  <c r="F13" i="1"/>
  <c r="J19" i="1"/>
  <c r="E26" i="1"/>
  <c r="H32" i="1"/>
  <c r="F27" i="1"/>
  <c r="C14" i="1"/>
  <c r="I20" i="1"/>
  <c r="D27" i="1"/>
  <c r="G33" i="1"/>
  <c r="B25" i="1"/>
  <c r="F14" i="1"/>
  <c r="J20" i="1"/>
  <c r="E27" i="1"/>
  <c r="H33" i="1"/>
  <c r="I9" i="1"/>
  <c r="D16" i="1"/>
  <c r="G22" i="1"/>
  <c r="K28" i="1"/>
  <c r="C35" i="1"/>
  <c r="H34" i="1"/>
  <c r="I14" i="1"/>
  <c r="D21" i="1"/>
  <c r="G27" i="1"/>
  <c r="K33" i="1"/>
  <c r="B10" i="1"/>
  <c r="F16" i="1"/>
  <c r="J22" i="1"/>
  <c r="E29" i="1"/>
  <c r="H35" i="1"/>
  <c r="I11" i="1"/>
  <c r="D18" i="1"/>
  <c r="G24" i="1"/>
  <c r="K30" i="1"/>
  <c r="F19" i="1"/>
  <c r="E14" i="1"/>
  <c r="H20" i="1"/>
  <c r="B27" i="1"/>
  <c r="F33" i="1"/>
  <c r="F31" i="1"/>
  <c r="D15" i="1"/>
  <c r="G21" i="1"/>
  <c r="K27" i="1"/>
  <c r="C34" i="1"/>
  <c r="J33" i="1"/>
  <c r="E15" i="1"/>
  <c r="H21" i="1"/>
  <c r="B28" i="1"/>
  <c r="F34" i="1"/>
  <c r="G10" i="1"/>
  <c r="K16" i="1"/>
  <c r="C23" i="1"/>
  <c r="I29" i="1"/>
  <c r="F35" i="1"/>
  <c r="D9" i="1"/>
  <c r="G15" i="1"/>
  <c r="K21" i="1"/>
  <c r="C28" i="1"/>
  <c r="I34" i="1"/>
  <c r="J10" i="1"/>
  <c r="E17" i="1"/>
  <c r="H23" i="1"/>
  <c r="B30" i="1"/>
  <c r="F11" i="1"/>
  <c r="G12" i="1"/>
  <c r="K18" i="1"/>
  <c r="C25" i="1"/>
  <c r="I31" i="1"/>
  <c r="H26" i="1"/>
  <c r="B15" i="1"/>
  <c r="F21" i="1"/>
  <c r="J27" i="1"/>
  <c r="E34" i="1"/>
  <c r="G9" i="1"/>
  <c r="K15" i="1"/>
  <c r="C22" i="1"/>
  <c r="I28" i="1"/>
  <c r="A6" i="8"/>
  <c r="A6" i="1"/>
  <c r="H9" i="1"/>
  <c r="B16" i="1"/>
  <c r="F22" i="1"/>
  <c r="J28" i="1"/>
  <c r="E35" i="1"/>
  <c r="C11" i="1"/>
  <c r="I17" i="1"/>
  <c r="D24" i="1"/>
  <c r="G30" i="1"/>
  <c r="B13" i="1"/>
  <c r="K9" i="1"/>
  <c r="C16" i="1"/>
  <c r="I22" i="1"/>
  <c r="D29" i="1"/>
  <c r="G35" i="1"/>
  <c r="H11" i="1"/>
  <c r="B18" i="1"/>
  <c r="F24" i="1"/>
  <c r="J30" i="1"/>
  <c r="B17" i="1"/>
  <c r="C13" i="1"/>
  <c r="I19" i="1"/>
  <c r="D26" i="1"/>
  <c r="G32" i="1"/>
  <c r="F9" i="1"/>
  <c r="J15" i="1"/>
  <c r="E22" i="1"/>
  <c r="H28" i="1"/>
  <c r="B35" i="1"/>
  <c r="C10" i="1"/>
  <c r="I16" i="1"/>
  <c r="D23" i="1"/>
  <c r="G29" i="1"/>
  <c r="K35" i="1"/>
  <c r="K7" i="1"/>
  <c r="D7" i="1"/>
  <c r="J7" i="1"/>
  <c r="B7" i="1"/>
  <c r="I7" i="1"/>
  <c r="H7" i="1"/>
  <c r="G7" i="1"/>
  <c r="F7" i="1"/>
  <c r="C7" i="1"/>
  <c r="E7" i="1"/>
  <c r="C8" i="8"/>
  <c r="I8" i="8"/>
  <c r="H8" i="8"/>
  <c r="G8" i="8"/>
  <c r="F8" i="8"/>
  <c r="E8" i="8"/>
  <c r="D8" i="8"/>
  <c r="I8" i="1"/>
  <c r="H8" i="1"/>
  <c r="G8" i="1"/>
  <c r="F8" i="1"/>
  <c r="C8" i="1"/>
  <c r="E8" i="1"/>
  <c r="K8" i="1"/>
  <c r="D8" i="1"/>
  <c r="J8" i="1"/>
  <c r="B8" i="1"/>
  <c r="K13" i="8"/>
  <c r="J30" i="8"/>
  <c r="K12" i="8"/>
  <c r="K14" i="8"/>
  <c r="K24" i="8"/>
  <c r="H17" i="8"/>
  <c r="I17" i="8"/>
  <c r="K11" i="8"/>
  <c r="C15" i="8"/>
  <c r="I23" i="8"/>
  <c r="D25" i="8"/>
  <c r="G17" i="8"/>
  <c r="C31" i="8"/>
  <c r="D31" i="8"/>
  <c r="E31" i="8"/>
  <c r="K22" i="8"/>
  <c r="F31" i="8"/>
  <c r="E17" i="8"/>
  <c r="C33" i="8"/>
  <c r="F17" i="8"/>
  <c r="F23" i="8"/>
  <c r="G23" i="8"/>
  <c r="H23" i="8"/>
  <c r="K32" i="8"/>
  <c r="C23" i="8"/>
  <c r="E33" i="8"/>
  <c r="H15" i="8"/>
  <c r="F33" i="8"/>
  <c r="I15" i="8"/>
  <c r="G33" i="8"/>
  <c r="H33" i="8"/>
  <c r="J10" i="8"/>
  <c r="D23" i="8"/>
  <c r="H25" i="8"/>
  <c r="C17" i="8"/>
  <c r="I25" i="8"/>
  <c r="E25" i="8"/>
  <c r="F15" i="8"/>
  <c r="D33" i="8"/>
  <c r="G15" i="8"/>
  <c r="E15" i="8"/>
  <c r="H30" i="8"/>
  <c r="K30" i="8" s="1"/>
  <c r="J26" i="8"/>
  <c r="J34" i="8"/>
  <c r="I9" i="8"/>
  <c r="H9" i="8"/>
  <c r="G9" i="8"/>
  <c r="F9" i="8"/>
  <c r="E9" i="8"/>
  <c r="D9" i="8"/>
  <c r="C9" i="8"/>
  <c r="J11" i="8"/>
  <c r="J12" i="8"/>
  <c r="J13" i="8"/>
  <c r="A6" i="10"/>
  <c r="B34" i="7"/>
  <c r="Z35" i="7"/>
  <c r="Z19" i="7"/>
  <c r="B35" i="7"/>
  <c r="B24" i="7"/>
  <c r="Z22" i="7"/>
  <c r="D19" i="7"/>
  <c r="D20" i="7"/>
  <c r="G35" i="7"/>
  <c r="D21" i="7"/>
  <c r="Z21" i="7"/>
  <c r="Z34" i="7"/>
  <c r="Z33" i="7"/>
  <c r="B21" i="7"/>
  <c r="G19" i="7"/>
  <c r="G34" i="7"/>
  <c r="B19" i="7"/>
  <c r="D22" i="7"/>
  <c r="D24" i="7"/>
  <c r="D23" i="7"/>
  <c r="G21" i="7"/>
  <c r="B22" i="7"/>
  <c r="B33" i="7"/>
  <c r="Z24" i="7"/>
  <c r="Z20" i="7"/>
  <c r="Z23" i="7"/>
  <c r="G20" i="7"/>
  <c r="G33" i="7"/>
  <c r="B23" i="7"/>
  <c r="G22" i="7"/>
  <c r="G24" i="7"/>
  <c r="J24" i="7"/>
  <c r="T19" i="7"/>
  <c r="AC22" i="7"/>
  <c r="M19" i="7"/>
  <c r="U24" i="7"/>
  <c r="U20" i="7"/>
  <c r="R19" i="7"/>
  <c r="V22" i="7"/>
  <c r="V23" i="7"/>
  <c r="F34" i="7"/>
  <c r="F19" i="7"/>
  <c r="O35" i="7"/>
  <c r="O23" i="7"/>
  <c r="W33" i="7"/>
  <c r="N34" i="7"/>
  <c r="N22" i="7"/>
  <c r="H21" i="7"/>
  <c r="P34" i="7"/>
  <c r="P35" i="7"/>
  <c r="X20" i="7"/>
  <c r="L21" i="7"/>
  <c r="AE35" i="7"/>
  <c r="I24" i="7"/>
  <c r="Q22" i="7"/>
  <c r="Q20" i="7"/>
  <c r="Y33" i="7"/>
  <c r="Y19" i="7"/>
  <c r="AA23" i="7"/>
  <c r="AA24" i="7"/>
  <c r="J33" i="7"/>
  <c r="J34" i="7"/>
  <c r="J19" i="7"/>
  <c r="T22" i="7"/>
  <c r="C35" i="7"/>
  <c r="M20" i="7"/>
  <c r="AD23" i="7"/>
  <c r="V20" i="7"/>
  <c r="F35" i="7"/>
  <c r="F22" i="7"/>
  <c r="O22" i="7"/>
  <c r="O21" i="7"/>
  <c r="W34" i="7"/>
  <c r="W21" i="7"/>
  <c r="E22" i="7"/>
  <c r="N35" i="7"/>
  <c r="N19" i="7"/>
  <c r="P23" i="7"/>
  <c r="X33" i="7"/>
  <c r="AE22" i="7"/>
  <c r="AE21" i="7"/>
  <c r="I19" i="7"/>
  <c r="Q23" i="7"/>
  <c r="T23" i="7"/>
  <c r="T24" i="7"/>
  <c r="T21" i="7"/>
  <c r="AC24" i="7"/>
  <c r="AC23" i="7"/>
  <c r="C23" i="7"/>
  <c r="C24" i="7"/>
  <c r="M34" i="7"/>
  <c r="U21" i="7"/>
  <c r="AD34" i="7"/>
  <c r="AD19" i="7"/>
  <c r="R35" i="7"/>
  <c r="R21" i="7"/>
  <c r="V24" i="7"/>
  <c r="W35" i="7"/>
  <c r="W23" i="7"/>
  <c r="E34" i="7"/>
  <c r="H20" i="7"/>
  <c r="X34" i="7"/>
  <c r="L23" i="7"/>
  <c r="L24" i="7"/>
  <c r="AE23" i="7"/>
  <c r="I33" i="7"/>
  <c r="Y35" i="7"/>
  <c r="Y20" i="7"/>
  <c r="K23" i="7"/>
  <c r="K24" i="7"/>
  <c r="AB23" i="7"/>
  <c r="AB24" i="7"/>
  <c r="AC21" i="7"/>
  <c r="C20" i="7"/>
  <c r="M33" i="7"/>
  <c r="M35" i="7"/>
  <c r="U19" i="7"/>
  <c r="AD35" i="7"/>
  <c r="R23" i="7"/>
  <c r="R20" i="7"/>
  <c r="V33" i="7"/>
  <c r="F20" i="7"/>
  <c r="O24" i="7"/>
  <c r="W22" i="7"/>
  <c r="E33" i="7"/>
  <c r="E35" i="7"/>
  <c r="N20" i="7"/>
  <c r="H33" i="7"/>
  <c r="H24" i="7"/>
  <c r="P19" i="7"/>
  <c r="X35" i="7"/>
  <c r="L22" i="7"/>
  <c r="AE24" i="7"/>
  <c r="AE19" i="7"/>
  <c r="I22" i="7"/>
  <c r="Y22" i="7"/>
  <c r="Y21" i="7"/>
  <c r="J35" i="7"/>
  <c r="J22" i="7"/>
  <c r="AC19" i="7"/>
  <c r="C21" i="7"/>
  <c r="M22" i="7"/>
  <c r="U34" i="7"/>
  <c r="AD22" i="7"/>
  <c r="AD33" i="7"/>
  <c r="R22" i="7"/>
  <c r="V21" i="7"/>
  <c r="F24" i="7"/>
  <c r="F33" i="7"/>
  <c r="E20" i="7"/>
  <c r="N24" i="7"/>
  <c r="N33" i="7"/>
  <c r="H19" i="7"/>
  <c r="P20" i="7"/>
  <c r="X22" i="7"/>
  <c r="L20" i="7"/>
  <c r="Q19" i="7"/>
  <c r="Y23" i="7"/>
  <c r="AA33" i="7"/>
  <c r="AA34" i="7"/>
  <c r="AA19" i="7"/>
  <c r="J23" i="7"/>
  <c r="J21" i="7"/>
  <c r="AC20" i="7"/>
  <c r="M23" i="7"/>
  <c r="U33" i="7"/>
  <c r="U35" i="7"/>
  <c r="AD20" i="7"/>
  <c r="R24" i="7"/>
  <c r="F21" i="7"/>
  <c r="O19" i="7"/>
  <c r="W24" i="7"/>
  <c r="W19" i="7"/>
  <c r="E21" i="7"/>
  <c r="N23" i="7"/>
  <c r="H22" i="7"/>
  <c r="P33" i="7"/>
  <c r="P22" i="7"/>
  <c r="X23" i="7"/>
  <c r="AE20" i="7"/>
  <c r="I35" i="7"/>
  <c r="I20" i="7"/>
  <c r="Q33" i="7"/>
  <c r="Q34" i="7"/>
  <c r="T33" i="7"/>
  <c r="T34" i="7"/>
  <c r="T35" i="7"/>
  <c r="AC34" i="7"/>
  <c r="C33" i="7"/>
  <c r="C34" i="7"/>
  <c r="C19" i="7"/>
  <c r="M24" i="7"/>
  <c r="M21" i="7"/>
  <c r="U22" i="7"/>
  <c r="AD24" i="7"/>
  <c r="AD21" i="7"/>
  <c r="V34" i="7"/>
  <c r="V19" i="7"/>
  <c r="F23" i="7"/>
  <c r="O33" i="7"/>
  <c r="W20" i="7"/>
  <c r="E24" i="7"/>
  <c r="E19" i="7"/>
  <c r="N21" i="7"/>
  <c r="H34" i="7"/>
  <c r="H35" i="7"/>
  <c r="P24" i="7"/>
  <c r="X24" i="7"/>
  <c r="X21" i="7"/>
  <c r="L33" i="7"/>
  <c r="L34" i="7"/>
  <c r="L35" i="7"/>
  <c r="AE33" i="7"/>
  <c r="I23" i="7"/>
  <c r="I34" i="7"/>
  <c r="K33" i="7"/>
  <c r="K34" i="7"/>
  <c r="S22" i="7"/>
  <c r="AB33" i="7"/>
  <c r="AB34" i="7"/>
  <c r="AB20" i="7"/>
  <c r="AC35" i="7"/>
  <c r="R34" i="7"/>
  <c r="O34" i="7"/>
  <c r="I21" i="7"/>
  <c r="AA21" i="7"/>
  <c r="S19" i="7"/>
  <c r="AB19" i="7"/>
  <c r="S23" i="7"/>
  <c r="E23" i="7"/>
  <c r="L19" i="7"/>
  <c r="Q35" i="7"/>
  <c r="AA22" i="7"/>
  <c r="K22" i="7"/>
  <c r="S34" i="7"/>
  <c r="J20" i="7"/>
  <c r="U23" i="7"/>
  <c r="O20" i="7"/>
  <c r="AE34" i="7"/>
  <c r="K20" i="7"/>
  <c r="AB21" i="7"/>
  <c r="V35" i="7"/>
  <c r="P21" i="7"/>
  <c r="Q24" i="7"/>
  <c r="K21" i="7"/>
  <c r="S33" i="7"/>
  <c r="AB22" i="7"/>
  <c r="C22" i="7"/>
  <c r="Q21" i="7"/>
  <c r="K35" i="7"/>
  <c r="K19" i="7"/>
  <c r="S24" i="7"/>
  <c r="T20" i="7"/>
  <c r="Y24" i="7"/>
  <c r="Y34" i="7"/>
  <c r="S20" i="7"/>
  <c r="AC33" i="7"/>
  <c r="X19" i="7"/>
  <c r="R33" i="7"/>
  <c r="H23" i="7"/>
  <c r="AA35" i="7"/>
  <c r="AA20" i="7"/>
  <c r="S35" i="7"/>
  <c r="S21" i="7"/>
  <c r="AB35" i="7"/>
  <c r="D35" i="7"/>
  <c r="D34" i="7"/>
  <c r="D33" i="7"/>
  <c r="G23" i="7"/>
  <c r="B20" i="7"/>
  <c r="J24" i="8" l="1"/>
  <c r="J32" i="8"/>
  <c r="K6" i="10"/>
  <c r="G6" i="10"/>
  <c r="L6" i="10"/>
  <c r="K16" i="8"/>
  <c r="K27" i="8"/>
  <c r="J16" i="8"/>
  <c r="J27" i="8"/>
  <c r="K19" i="8"/>
  <c r="C6" i="8"/>
  <c r="C38" i="8" s="1"/>
  <c r="B6" i="8"/>
  <c r="J19" i="8"/>
  <c r="J35" i="8"/>
  <c r="K35" i="8"/>
  <c r="P7" i="10"/>
  <c r="Q7" i="10"/>
  <c r="P6" i="10"/>
  <c r="O6" i="10"/>
  <c r="R6" i="10"/>
  <c r="Q6" i="10"/>
  <c r="O7" i="10"/>
  <c r="M6" i="10"/>
  <c r="D6" i="10"/>
  <c r="J6" i="10"/>
  <c r="H6" i="10"/>
  <c r="I6" i="10"/>
  <c r="F6" i="10"/>
  <c r="E6" i="10"/>
  <c r="C6" i="10"/>
  <c r="K20" i="8"/>
  <c r="J28" i="8"/>
  <c r="J20" i="8"/>
  <c r="J21" i="8"/>
  <c r="K28" i="8"/>
  <c r="K21" i="8"/>
  <c r="K29" i="8"/>
  <c r="J29" i="8"/>
  <c r="J25" i="8"/>
  <c r="J33" i="8"/>
  <c r="G6" i="8"/>
  <c r="G37" i="8" s="1"/>
  <c r="H6" i="8"/>
  <c r="H38" i="8" s="1"/>
  <c r="F6" i="8"/>
  <c r="F38" i="8" s="1"/>
  <c r="E6" i="8"/>
  <c r="E38" i="8" s="1"/>
  <c r="D6" i="8"/>
  <c r="D37" i="8" s="1"/>
  <c r="I6" i="8"/>
  <c r="I37" i="8" s="1"/>
  <c r="J17" i="8"/>
  <c r="I6" i="1"/>
  <c r="G6" i="1"/>
  <c r="F6" i="1"/>
  <c r="K6" i="1"/>
  <c r="J6" i="1"/>
  <c r="H6" i="1"/>
  <c r="E6" i="1"/>
  <c r="B6" i="1"/>
  <c r="C6" i="1"/>
  <c r="D6" i="1"/>
  <c r="K8" i="8"/>
  <c r="J31" i="8"/>
  <c r="J8" i="8"/>
  <c r="K17" i="8"/>
  <c r="K25" i="8"/>
  <c r="K33" i="8"/>
  <c r="J23" i="8"/>
  <c r="K15" i="8"/>
  <c r="J15" i="8"/>
  <c r="K23" i="8"/>
  <c r="J9" i="8"/>
  <c r="K9" i="8"/>
  <c r="B6" i="10"/>
  <c r="F37" i="8" l="1"/>
  <c r="F39" i="8" s="1"/>
  <c r="I38" i="8"/>
  <c r="I39" i="8" s="1"/>
  <c r="G38" i="8"/>
  <c r="G39" i="8" s="1"/>
  <c r="D38" i="8"/>
  <c r="D39" i="8" s="1"/>
  <c r="H37" i="8"/>
  <c r="H39" i="8" s="1"/>
  <c r="E37" i="8"/>
  <c r="E39" i="8" s="1"/>
  <c r="C37" i="8"/>
  <c r="C39" i="8" s="1"/>
  <c r="J6" i="8"/>
  <c r="J37" i="8" s="1"/>
  <c r="K6" i="8"/>
  <c r="K38" i="8" s="1"/>
  <c r="J38" i="8" l="1"/>
  <c r="J39" i="8" s="1"/>
  <c r="K37" i="8"/>
  <c r="K39" i="8" s="1"/>
  <c r="B80" i="7" l="1"/>
</calcChain>
</file>

<file path=xl/sharedStrings.xml><?xml version="1.0" encoding="utf-8"?>
<sst xmlns="http://schemas.openxmlformats.org/spreadsheetml/2006/main" count="1870" uniqueCount="446">
  <si>
    <t>CHARMS &amp; PROBAST template</t>
  </si>
  <si>
    <t>Information:</t>
  </si>
  <si>
    <t xml:space="preserve">This Excel document is a template for data extraction and critical appraisal of a systematic review of clinical prediction model development and/or validation studies. </t>
  </si>
  <si>
    <r>
      <t xml:space="preserve">
</t>
    </r>
    <r>
      <rPr>
        <b/>
        <sz val="12"/>
        <color theme="1"/>
        <rFont val="Calibri"/>
        <family val="2"/>
        <scheme val="minor"/>
      </rPr>
      <t xml:space="preserve">Templates designed by: </t>
    </r>
    <r>
      <rPr>
        <sz val="12"/>
        <color theme="1"/>
        <rFont val="Calibri"/>
        <family val="2"/>
        <scheme val="minor"/>
      </rPr>
      <t xml:space="preserve">
</t>
    </r>
    <r>
      <rPr>
        <sz val="11"/>
        <color theme="1"/>
        <rFont val="Calibri"/>
        <family val="2"/>
        <scheme val="minor"/>
      </rPr>
      <t xml:space="preserve">Fernandez-Felix BM </t>
    </r>
    <r>
      <rPr>
        <vertAlign val="superscript"/>
        <sz val="11"/>
        <color theme="1"/>
        <rFont val="Calibri"/>
        <family val="2"/>
        <scheme val="minor"/>
      </rPr>
      <t>1,2</t>
    </r>
    <r>
      <rPr>
        <sz val="11"/>
        <color theme="1"/>
        <rFont val="Calibri"/>
        <family val="2"/>
        <scheme val="minor"/>
      </rPr>
      <t xml:space="preserve"> </t>
    </r>
    <r>
      <rPr>
        <sz val="12"/>
        <color theme="1"/>
        <rFont val="Calibri"/>
        <family val="2"/>
        <scheme val="minor"/>
      </rPr>
      <t xml:space="preserve">
</t>
    </r>
    <r>
      <rPr>
        <b/>
        <sz val="12"/>
        <color theme="1"/>
        <rFont val="Calibri"/>
        <family val="2"/>
        <scheme val="minor"/>
      </rPr>
      <t xml:space="preserve">Affiliations: </t>
    </r>
    <r>
      <rPr>
        <sz val="12"/>
        <color theme="1"/>
        <rFont val="Calibri"/>
        <family val="2"/>
        <scheme val="minor"/>
      </rPr>
      <t xml:space="preserve">
</t>
    </r>
    <r>
      <rPr>
        <vertAlign val="superscript"/>
        <sz val="11"/>
        <color theme="1"/>
        <rFont val="Calibri"/>
        <family val="2"/>
        <scheme val="minor"/>
      </rPr>
      <t>1</t>
    </r>
    <r>
      <rPr>
        <sz val="11"/>
        <color theme="1"/>
        <rFont val="Calibri"/>
        <family val="2"/>
        <scheme val="minor"/>
      </rPr>
      <t xml:space="preserve"> Clinical Biostatistics Unit, Hospital Universitario Ramón y Cajal, IRYCIS, Madrid, Spain. 
</t>
    </r>
    <r>
      <rPr>
        <vertAlign val="superscript"/>
        <sz val="11"/>
        <color theme="1"/>
        <rFont val="Calibri"/>
        <family val="2"/>
        <scheme val="minor"/>
      </rPr>
      <t>2</t>
    </r>
    <r>
      <rPr>
        <sz val="11"/>
        <color theme="1"/>
        <rFont val="Calibri"/>
        <family val="2"/>
        <scheme val="minor"/>
      </rPr>
      <t xml:space="preserve"> CIBER de Epidemiología y Salud Pública (CIBERESP), Madrid, Spain.
</t>
    </r>
    <r>
      <rPr>
        <b/>
        <sz val="12"/>
        <color theme="1"/>
        <rFont val="Calibri"/>
        <family val="2"/>
        <scheme val="minor"/>
      </rPr>
      <t xml:space="preserve"> Contact: </t>
    </r>
    <r>
      <rPr>
        <sz val="12"/>
        <color theme="1"/>
        <rFont val="Calibri"/>
        <family val="2"/>
        <scheme val="minor"/>
      </rPr>
      <t xml:space="preserve">
</t>
    </r>
    <r>
      <rPr>
        <b/>
        <sz val="12"/>
        <color rgb="FF0070C0"/>
        <rFont val="Calibri"/>
        <family val="2"/>
        <scheme val="minor"/>
      </rPr>
      <t xml:space="preserve">borjamanuel.fernandez@salud.madrid.org </t>
    </r>
    <r>
      <rPr>
        <b/>
        <sz val="11"/>
        <color rgb="FF0070C0"/>
        <rFont val="Calibri"/>
        <family val="2"/>
        <scheme val="minor"/>
      </rPr>
      <t xml:space="preserve">
</t>
    </r>
  </si>
  <si>
    <t>Contents:</t>
  </si>
  <si>
    <t>Instructions for use:</t>
  </si>
  <si>
    <t>To begin data extraction (CHARMS) and risk of bias and applicability evaluation (PROBAST) of each model included in the systematic review, check in "new model" on the SUMMARY sheet. Complete the basic study information. The template can be used to evaluate up to 30 models.
Go to:</t>
  </si>
  <si>
    <r>
      <t xml:space="preserve">
</t>
    </r>
    <r>
      <rPr>
        <b/>
        <sz val="11"/>
        <color theme="4" tint="-0.499984740745262"/>
        <rFont val="Calibri"/>
        <family val="2"/>
        <scheme val="minor"/>
      </rPr>
      <t xml:space="preserve">CHARMS </t>
    </r>
    <r>
      <rPr>
        <sz val="11"/>
        <color theme="4" tint="-0.499984740745262"/>
        <rFont val="Calibri"/>
        <family val="2"/>
        <scheme val="minor"/>
      </rPr>
      <t>(Adapted from Moons K. 2014)</t>
    </r>
    <r>
      <rPr>
        <sz val="11"/>
        <color theme="1"/>
        <rFont val="Calibri"/>
        <family val="2"/>
        <scheme val="minor"/>
      </rPr>
      <t xml:space="preserve">
Complete the data extraction for each predictive model included in the systematic review. You should fill in the cells shaded in yellow. Fill in the cell with "No Information" (NI) when the information in the study report is not available. In the case of blank cells, the status of the data extraction form will be incomplete ⚠️. When all domains in the form are filled out, the data extraction will be complete ✅.
Go to:</t>
    </r>
  </si>
  <si>
    <r>
      <t xml:space="preserve">
</t>
    </r>
    <r>
      <rPr>
        <b/>
        <sz val="11"/>
        <color theme="4" tint="-0.499984740745262"/>
        <rFont val="Calibri"/>
        <family val="2"/>
        <scheme val="minor"/>
      </rPr>
      <t>PROBAST</t>
    </r>
    <r>
      <rPr>
        <sz val="11"/>
        <color theme="4" tint="-0.499984740745262"/>
        <rFont val="Calibri"/>
        <family val="2"/>
        <scheme val="minor"/>
      </rPr>
      <t xml:space="preserve"> (Adapted from Wolff RF. 2019)</t>
    </r>
    <r>
      <rPr>
        <sz val="11"/>
        <color theme="1"/>
        <rFont val="Calibri"/>
        <family val="2"/>
        <scheme val="minor"/>
      </rPr>
      <t xml:space="preserve">
Complete the risk of bias assessment and applicability for each model included in the systematic review. You should answer signalling questions shaded in yellow for each key domain (Participant, Predictor, Outcome and Analysis) as "Yes", "Probably yes", "Probably no", "No" or "No information". For each domain, once all signalling questions are answered, RoB and applicability assessment cells will become unblocked. Any signally question rated as "No" or "Probably no" flags the potential for bias; You will need to use your judgement to determine whether the domain should be rated as "High", "Low" or "Unclear" risk of bias, and rated for concern regarding applicability "High", "Low" or "Unclear" to your review question. When RoB assessment and applicability were rated for all domains in the form, the PROBAST assessment will be complete ✅.
Go to:</t>
    </r>
  </si>
  <si>
    <t>Summary information:</t>
  </si>
  <si>
    <t>Incomplete</t>
  </si>
  <si>
    <t>Complete</t>
  </si>
  <si>
    <t>Models included for data extraction and RoB assessment:</t>
  </si>
  <si>
    <t>New model</t>
  </si>
  <si>
    <t>No model</t>
  </si>
  <si>
    <t>Author</t>
  </si>
  <si>
    <t>Publication year</t>
  </si>
  <si>
    <t>Publication identifier (Title/PMID/DOI)</t>
  </si>
  <si>
    <t>Publication journal</t>
  </si>
  <si>
    <t>Model name</t>
  </si>
  <si>
    <t>Identifier</t>
  </si>
  <si>
    <t>CHARMS</t>
  </si>
  <si>
    <t>PROBAST</t>
  </si>
  <si>
    <t>Gaca</t>
  </si>
  <si>
    <t>Outcomes for endocarditis surgery in North America: a simplified risk scoring system</t>
  </si>
  <si>
    <t>J Thorac Cardiovasc Surg</t>
  </si>
  <si>
    <t>STSS score</t>
  </si>
  <si>
    <t>De Feo</t>
  </si>
  <si>
    <t>The Need for a Specific Risk Prediction System in Native Valve Infective Endocarditis Surgery</t>
  </si>
  <si>
    <t>The Scientific World Journal</t>
  </si>
  <si>
    <t>De Feo score</t>
  </si>
  <si>
    <t>Martínez-Sellés</t>
  </si>
  <si>
    <t>Valve surgery in active infective endocarditis: A simple score to predict in-hospital prognosis</t>
  </si>
  <si>
    <t>International Journal of Cardiology</t>
  </si>
  <si>
    <t>PALSUSE</t>
  </si>
  <si>
    <t>Madeira</t>
  </si>
  <si>
    <t>Assessment of perioperative mortality risk in patients with infective endocarditis undergoing cardiac surgery: performance of the EuroSCORE I and II logistic models</t>
  </si>
  <si>
    <t>Interactive CardioVascular and Thoracic Surgery</t>
  </si>
  <si>
    <t>modified EuroSCORE-II</t>
  </si>
  <si>
    <t>Simple Scoring System to Predict In-Hospital Mortality After Surgery for Infective Endocarditis</t>
  </si>
  <si>
    <t>Journal of American Heart Association</t>
  </si>
  <si>
    <t>AEPEI score</t>
  </si>
  <si>
    <t>Alternate AEPEI score</t>
  </si>
  <si>
    <t>Di Mauro</t>
  </si>
  <si>
    <t>A predictive model for early mortality after surgical treatment of heart valve or prosthesis infective endocarditis. The EndoSCORE</t>
  </si>
  <si>
    <t>Int J Cardiol</t>
  </si>
  <si>
    <t>EndoSCORE</t>
  </si>
  <si>
    <t>A risk factor analysis for in‑hospital mortality after surgery for infective endocarditis and a proposal of a new predictive scoring system</t>
  </si>
  <si>
    <t>Infection</t>
  </si>
  <si>
    <t>ANCLA score</t>
  </si>
  <si>
    <t>Olmos</t>
  </si>
  <si>
    <t>Risk score for cardiac surgery in active left-sided infective endocarditis</t>
  </si>
  <si>
    <t>Heart</t>
  </si>
  <si>
    <t>RISK-E score</t>
  </si>
  <si>
    <t>A pragmatic approach for mortality prediction after surgery in infective endocarditis: optimizing and refining EuroSCORE</t>
  </si>
  <si>
    <t>Clinical Microbiology and Infection</t>
  </si>
  <si>
    <t>Specific EuroSCORE-I</t>
  </si>
  <si>
    <t>Specific EuroSCORE-II</t>
  </si>
  <si>
    <t>CHARMS checklist</t>
  </si>
  <si>
    <t>CHARMS checklist. Relevant items to extract from individual studies for purposes of description and assessment of risk of bias and applicability. (Adapted from Moons KG. 2014)</t>
  </si>
  <si>
    <t>Gen</t>
  </si>
  <si>
    <t>App</t>
  </si>
  <si>
    <t>RoB</t>
  </si>
  <si>
    <t>Domain/ Key items</t>
  </si>
  <si>
    <t>Model 3</t>
  </si>
  <si>
    <t>Model 4</t>
  </si>
  <si>
    <t>0. Study information</t>
  </si>
  <si>
    <t>X</t>
  </si>
  <si>
    <t>0.1 Author</t>
  </si>
  <si>
    <t>0.2 Publication year</t>
  </si>
  <si>
    <t>0.3 Publication identifier (Title/PMID/DOI)</t>
  </si>
  <si>
    <t>0.4 Publication journal</t>
  </si>
  <si>
    <t>0.5 Model name</t>
  </si>
  <si>
    <t>1. Source of data</t>
  </si>
  <si>
    <t>1.1 Source of data</t>
  </si>
  <si>
    <t>Existing registry</t>
  </si>
  <si>
    <t>Retrospective cohort</t>
  </si>
  <si>
    <t>Other (specify)</t>
  </si>
  <si>
    <t>2. Participants</t>
  </si>
  <si>
    <t>x</t>
  </si>
  <si>
    <t>2.1 Recruitment method</t>
  </si>
  <si>
    <t>Selective inclusion</t>
  </si>
  <si>
    <t>Prospective recruitment</t>
  </si>
  <si>
    <t>Consecutive patients</t>
  </si>
  <si>
    <t>No information</t>
  </si>
  <si>
    <t>Consecutive patients prospectively recruited on an ongoing database</t>
  </si>
  <si>
    <t>2.2 Recruitment dates</t>
  </si>
  <si>
    <t>2002 - 2008</t>
  </si>
  <si>
    <t>1980 - 2009</t>
  </si>
  <si>
    <t>2008 - 2010</t>
  </si>
  <si>
    <t>2007 - 2014</t>
  </si>
  <si>
    <t>2000 - 2015 (Italy) 2008 (France)</t>
  </si>
  <si>
    <t>2000 - 2015</t>
  </si>
  <si>
    <t>1999 - 2015</t>
  </si>
  <si>
    <t>1996 - 2014</t>
  </si>
  <si>
    <t>2000 - 2011</t>
  </si>
  <si>
    <t>2.3 Study setting</t>
  </si>
  <si>
    <t>Cardiac surgery centers</t>
  </si>
  <si>
    <t>Cardiac surgery center</t>
  </si>
  <si>
    <t>2.4 Study sites (Regions)</t>
  </si>
  <si>
    <t>North America</t>
  </si>
  <si>
    <t>Italy</t>
  </si>
  <si>
    <t>Spain</t>
  </si>
  <si>
    <t>Portugal</t>
  </si>
  <si>
    <t>Italy and France</t>
  </si>
  <si>
    <t>2.5 Study sites (Number of centers)</t>
  </si>
  <si>
    <t>Unclear</t>
  </si>
  <si>
    <t>2.6 Criteria inclusion</t>
  </si>
  <si>
    <t>All patients with the diagnosis of IE who underwent surgery on the aortic, mitral, and/or tricuspid valves.</t>
  </si>
  <si>
    <t>Infective Endocarditis of native valves</t>
  </si>
  <si>
    <t>Patients with definite or possible IE who underwent surgery.</t>
  </si>
  <si>
    <t>Patients underwent cardiac surgery under extracorporeal circulation for active IE (according to modified Duke criteria).</t>
  </si>
  <si>
    <t>Patients who underwent surgery for IE defined by the modified Duke criteria</t>
  </si>
  <si>
    <t>Patients with native valve endocarditis (NVE) or prosthesis valve endocarditis (PVE) operated.</t>
  </si>
  <si>
    <t>Patients who underwent surgery for IE defined by the modified Duke criteria.</t>
  </si>
  <si>
    <t>Patients with definite, left-sided IE in the active phase of the disease who underwent surgery.</t>
  </si>
  <si>
    <t>Patients who requiring cardiac surgery during the active phase of infection (while on antimicrobial therapy).</t>
  </si>
  <si>
    <t>2.7 Criteria exclusion</t>
  </si>
  <si>
    <t>Sites were excluded if data were missing on age, gender, status of surgery, cardiogenic shock , and endocarditis type. And if more than 20% of patients had no complication information reported.</t>
  </si>
  <si>
    <t>Infective Endocarditis of prosthetic valves</t>
  </si>
  <si>
    <t>Patients with right-sided IE, left-sided IE without surgical indications and those with a surgical indication that were not surgical candidates.</t>
  </si>
  <si>
    <t>IE cases exclusively involving pacemaker leads were not considered. Only the first episode of IE recorded for an individual patient was used.</t>
  </si>
  <si>
    <t>2.8 Participant description</t>
  </si>
  <si>
    <t>Characteristics</t>
  </si>
  <si>
    <t>Values</t>
  </si>
  <si>
    <t>Measures</t>
  </si>
  <si>
    <t>Age of participants</t>
  </si>
  <si>
    <t>55 (46;66)</t>
  </si>
  <si>
    <t>Median (IQR)</t>
  </si>
  <si>
    <t>49 (16)</t>
  </si>
  <si>
    <t>Mean (sd)</t>
  </si>
  <si>
    <t>61.4 (15.5)</t>
  </si>
  <si>
    <t>60 (47;70)</t>
  </si>
  <si>
    <t>59.1 (15.4)</t>
  </si>
  <si>
    <t>59.6 (15.1)</t>
  </si>
  <si>
    <t>60.6 (8.5)</t>
  </si>
  <si>
    <t>62 (14)</t>
  </si>
  <si>
    <t>58 (15.1)</t>
  </si>
  <si>
    <t>Native valve endocarditis</t>
  </si>
  <si>
    <t>440 (100)</t>
  </si>
  <si>
    <t>n (%)</t>
  </si>
  <si>
    <t>267 (61.1)</t>
  </si>
  <si>
    <t>94 (73.4)</t>
  </si>
  <si>
    <t>285 (78.9)</t>
  </si>
  <si>
    <t>2.221 (82)</t>
  </si>
  <si>
    <t>103 (74.6)</t>
  </si>
  <si>
    <t>259 (61.1)</t>
  </si>
  <si>
    <t>Valve affected</t>
  </si>
  <si>
    <t>All</t>
  </si>
  <si>
    <t>Other</t>
  </si>
  <si>
    <t>Aortic / Mitral</t>
  </si>
  <si>
    <t>3. Outcome to be predicted</t>
  </si>
  <si>
    <t>3.1 Outcome</t>
  </si>
  <si>
    <t>In-hospital or 30 days mortality</t>
  </si>
  <si>
    <t>In-hospital mortality or 30 days mortality</t>
  </si>
  <si>
    <t>In-hospital mortality</t>
  </si>
  <si>
    <t>30 days mortality</t>
  </si>
  <si>
    <t>3.2 Outcome definition</t>
  </si>
  <si>
    <t>Death occurring before discharge or within 30 days of surgery.</t>
  </si>
  <si>
    <t>30-day death or in hospital death</t>
  </si>
  <si>
    <t>Operative mortality ocurring during the admission</t>
  </si>
  <si>
    <t>at 30 days or during the index hospitalization</t>
  </si>
  <si>
    <t>In-hospital death</t>
  </si>
  <si>
    <t>Death by 30 days after surgery due to any cause</t>
  </si>
  <si>
    <t>In-hospital postsurgery mortality</t>
  </si>
  <si>
    <t>Death ocurring after surgery and before discharge, regardless of its cause.</t>
  </si>
  <si>
    <t>Death occurring within the first 30 days after cardiac surgery.</t>
  </si>
  <si>
    <t>3.3 Same outcome definition for all participants</t>
  </si>
  <si>
    <t>Yes</t>
  </si>
  <si>
    <t>3.4 Type of outcome</t>
  </si>
  <si>
    <t>Single</t>
  </si>
  <si>
    <t>3.5 Was the outcome assessed without knowledge of the predictors?</t>
  </si>
  <si>
    <t>3.6 Were candidate predictors part of outcome?</t>
  </si>
  <si>
    <t>No</t>
  </si>
  <si>
    <t>3.7 Time of outcome ocurrence</t>
  </si>
  <si>
    <t>30 days or lenght of hospital stay</t>
  </si>
  <si>
    <t>Lenght of hospital stay</t>
  </si>
  <si>
    <t>30 days</t>
  </si>
  <si>
    <t>4. Candidate predictors</t>
  </si>
  <si>
    <t>4.1 Number of candidate predictors (or parameters) assessed</t>
  </si>
  <si>
    <t>4.2 Type of predictors</t>
  </si>
  <si>
    <t>Patient, surgery and IE related factors</t>
  </si>
  <si>
    <t>Patient and IE related factors</t>
  </si>
  <si>
    <t>Patient related factors</t>
  </si>
  <si>
    <t>Patients and surgery related factors</t>
  </si>
  <si>
    <t>4.3 Timing of predictors measurement</t>
  </si>
  <si>
    <t>Pre-operative</t>
  </si>
  <si>
    <t>pre-operative</t>
  </si>
  <si>
    <t>4.4 Predictors definition and measurement similar for all participants</t>
  </si>
  <si>
    <t>4.5 Were predictors assessed blinded for outcome?</t>
  </si>
  <si>
    <t>4.6 Handling of continuous predictors</t>
  </si>
  <si>
    <t>Dichotomization</t>
  </si>
  <si>
    <t>Restricted cubic spline function or categorization</t>
  </si>
  <si>
    <t>5. Sample size</t>
  </si>
  <si>
    <t>5.1 Number of participants</t>
  </si>
  <si>
    <t>5.2 Number of outcomes/events</t>
  </si>
  <si>
    <t>5.3 Number events per variable (EPV) or per parameter (EPP)</t>
  </si>
  <si>
    <t>6. Missing data</t>
  </si>
  <si>
    <t>6.1 Number of participants with any missing value</t>
  </si>
  <si>
    <t>6.2 Handling of missing data</t>
  </si>
  <si>
    <t>Complete-case analysis</t>
  </si>
  <si>
    <t>7. Model development</t>
  </si>
  <si>
    <t>7.1 Modelling method</t>
  </si>
  <si>
    <t>Logistic GEE regression</t>
  </si>
  <si>
    <t>Logistic regression</t>
  </si>
  <si>
    <t xml:space="preserve">7.2 Method for selection of candidate predictors </t>
  </si>
  <si>
    <t>Based on univariable associations</t>
  </si>
  <si>
    <t>Based on univariable associations and clinical relevance</t>
  </si>
  <si>
    <t>Based on prior knowledge</t>
  </si>
  <si>
    <t>7.3 Method for selection of predictors during multivariable modelling</t>
  </si>
  <si>
    <t>Stepwise selection</t>
  </si>
  <si>
    <t>Backward elimination</t>
  </si>
  <si>
    <t>Bootstrap selection</t>
  </si>
  <si>
    <t>7.4 Shrinkage of predictor weights or regression coefficients</t>
  </si>
  <si>
    <t>8. Model performance</t>
  </si>
  <si>
    <t>8.1 Calibration measures</t>
  </si>
  <si>
    <t>8.1.1 Calibration plot</t>
  </si>
  <si>
    <t>8.1.2 Calibration slope</t>
  </si>
  <si>
    <t>value (95% CI):</t>
  </si>
  <si>
    <t>0.93 (0.92 to 0.93)</t>
  </si>
  <si>
    <t>0.93 (0.92 to 0.94)</t>
  </si>
  <si>
    <t>8.1.3 Calibration-in-the-large (CITL)</t>
  </si>
  <si>
    <t>-0.06 (-0.07 to -0.05)</t>
  </si>
  <si>
    <t>-0.05 (-0.06 to -0.04)</t>
  </si>
  <si>
    <t>8.1.4 Hosmer-Lemeshow test</t>
  </si>
  <si>
    <t>8.1.5 Other</t>
  </si>
  <si>
    <t>Specify:</t>
  </si>
  <si>
    <t>Comparison of actual CITL and slope with the ideal values</t>
  </si>
  <si>
    <t>8.2 Discrimination measures</t>
  </si>
  <si>
    <t>8.2.1 C-Statistic</t>
  </si>
  <si>
    <t>0.88 (0.82 to 0.93)</t>
  </si>
  <si>
    <t>0.84 (0.79 to 0.88)</t>
  </si>
  <si>
    <t>0.87 (0.79 to 0.94)</t>
  </si>
  <si>
    <t>0.72 (0.64 to 0.78)</t>
  </si>
  <si>
    <t>0.69 (0.61 to 0.76)</t>
  </si>
  <si>
    <t>0.85 (0.84 to 0.86)</t>
  </si>
  <si>
    <t>0.83 (0.75 to 0.89)</t>
  </si>
  <si>
    <t>0.76 (0.64 to 0.88)</t>
  </si>
  <si>
    <t>0.77 (0.74 to 0.81)</t>
  </si>
  <si>
    <t>0.77 (0.73 to 0.81)</t>
  </si>
  <si>
    <t>8.2.2 D-Statistic</t>
  </si>
  <si>
    <t>8.2.3 AUC graph</t>
  </si>
  <si>
    <t>8.2.4 Log-rank test (if survival analysis)</t>
  </si>
  <si>
    <t>Not applicable</t>
  </si>
  <si>
    <t>8.2.5 Risk group curves (if survival analysis)</t>
  </si>
  <si>
    <t>8.2.6 Other</t>
  </si>
  <si>
    <t>8.3 Overall measures</t>
  </si>
  <si>
    <r>
      <t>8.3.1 R-squared (e.g. Cox-Snell R</t>
    </r>
    <r>
      <rPr>
        <vertAlign val="superscript"/>
        <sz val="10"/>
        <color theme="1"/>
        <rFont val="Calibri"/>
        <family val="2"/>
        <scheme val="minor"/>
      </rPr>
      <t>2</t>
    </r>
    <r>
      <rPr>
        <sz val="10"/>
        <color theme="1"/>
        <rFont val="Calibri"/>
        <family val="2"/>
        <scheme val="minor"/>
      </rPr>
      <t>, Nagelkerke's R</t>
    </r>
    <r>
      <rPr>
        <vertAlign val="superscript"/>
        <sz val="10"/>
        <color theme="1"/>
        <rFont val="Calibri"/>
        <family val="2"/>
        <scheme val="minor"/>
      </rPr>
      <t>2</t>
    </r>
    <r>
      <rPr>
        <sz val="10"/>
        <color theme="1"/>
        <rFont val="Calibri"/>
        <family val="2"/>
        <scheme val="minor"/>
      </rPr>
      <t>,..)</t>
    </r>
  </si>
  <si>
    <t xml:space="preserve">8.3.2 Brier score </t>
  </si>
  <si>
    <t>0.065 (0.057 to 0.072)</t>
  </si>
  <si>
    <t xml:space="preserve">8.3.3 Other </t>
  </si>
  <si>
    <t>8.4 Clinical utility</t>
  </si>
  <si>
    <t>8.4.1 Decision Curve Analysis (DCA)</t>
  </si>
  <si>
    <t>8.4.2 Other</t>
  </si>
  <si>
    <t>9. Model evaluation</t>
  </si>
  <si>
    <t>9.1 Method used for testing model performance</t>
  </si>
  <si>
    <t>9.1.1 Internal validation</t>
  </si>
  <si>
    <t>Random split data</t>
  </si>
  <si>
    <t>None (Apparent performance)</t>
  </si>
  <si>
    <t>Bootstrap</t>
  </si>
  <si>
    <t>9.1.2 External validation</t>
  </si>
  <si>
    <t>None</t>
  </si>
  <si>
    <t>Geographical</t>
  </si>
  <si>
    <t>9.2 In case of poor validation, whether model was adjusted or updated</t>
  </si>
  <si>
    <t>10. Results</t>
  </si>
  <si>
    <t>10.1 Number of predictors (or parameters) included in final model</t>
  </si>
  <si>
    <t>10.2 Final model included predictor weights or regression coefficients</t>
  </si>
  <si>
    <t>Regression coefficients</t>
  </si>
  <si>
    <t>Predictor weights</t>
  </si>
  <si>
    <t>10.3 Final model included intercept (or baseline survival)</t>
  </si>
  <si>
    <t>10.4 Alternative presentation of the final prediction models</t>
  </si>
  <si>
    <t>Score system</t>
  </si>
  <si>
    <t>Nomogram</t>
  </si>
  <si>
    <t>11. Interpretation</t>
  </si>
  <si>
    <t>11.1 Interpretation of presented model</t>
  </si>
  <si>
    <t>The risk scoring system informs patient selection, provides risk stratification, and allows communication with patients and other physicians.</t>
  </si>
  <si>
    <t>Our score may serve to this scope, provided that it will be validated in other larger series, possibly in multicentric design.</t>
  </si>
  <si>
    <t>The PALSUSE score could help to identify patients with higher in-hospital mortality following IE surgery.</t>
  </si>
  <si>
    <t>-</t>
  </si>
  <si>
    <t>Further larger validation studies are necessary before introducing the AEPEI score into the clinical practice.</t>
  </si>
  <si>
    <t>GIROC provides a logistic risk model to predict early mortality in patients with heart valve or prosthesis IE undergoing surgery.</t>
  </si>
  <si>
    <t>ANCLA score could aid a rapid and reliable framing of the patient with IE. Further large validation studies are necessary.</t>
  </si>
  <si>
    <t>This risk-scoring model should be a useful tool for clinical decision-making, providing more accurate information to patients and their families.</t>
  </si>
  <si>
    <t>We suggest that a new risk score based on EuroSCORE I should be used for prospective validation.</t>
  </si>
  <si>
    <t>12. Observations</t>
  </si>
  <si>
    <t xml:space="preserve">12.1 Data extraction process </t>
  </si>
  <si>
    <t>12.2 Additional information</t>
  </si>
  <si>
    <t>Modelling method was Logistic mixed effect model</t>
  </si>
  <si>
    <t>Source of was a combination beetwen a retrospective cohort from Italy and a existing registry from France.</t>
  </si>
  <si>
    <r>
      <t xml:space="preserve">Abbreviation: </t>
    </r>
    <r>
      <rPr>
        <i/>
        <sz val="11"/>
        <color theme="1"/>
        <rFont val="Calibri"/>
        <family val="2"/>
        <scheme val="minor"/>
      </rPr>
      <t>Gen: General description; App: Applicability; RoB: Risk of Bias</t>
    </r>
  </si>
  <si>
    <t>PROBAST checklist</t>
  </si>
  <si>
    <t>PROBAST. Prediction model study Risk Of Bias Assessment Tool</t>
  </si>
  <si>
    <t>Domain/ Key questions</t>
  </si>
  <si>
    <t>1. Participants</t>
  </si>
  <si>
    <t>1.1 Were appropriate data sources used?</t>
  </si>
  <si>
    <t>Probably Yes</t>
  </si>
  <si>
    <t>1.2 Were all inclusions and exclusions of participants appropriate?</t>
  </si>
  <si>
    <t>Probably No</t>
  </si>
  <si>
    <t>No Information</t>
  </si>
  <si>
    <t>Risk of bias introduced by selection of participants</t>
  </si>
  <si>
    <t>High RoB</t>
  </si>
  <si>
    <t>Low RoB</t>
  </si>
  <si>
    <t>Applicability</t>
  </si>
  <si>
    <t>Low concern</t>
  </si>
  <si>
    <t>High concern</t>
  </si>
  <si>
    <t>Relevant information extracted from CHARMS:</t>
  </si>
  <si>
    <t>Source of data</t>
  </si>
  <si>
    <t>Recruitment methods</t>
  </si>
  <si>
    <t>Recruitment dates</t>
  </si>
  <si>
    <t>Study setting</t>
  </si>
  <si>
    <t>Inclusion criteria</t>
  </si>
  <si>
    <t>Exclusion criteria</t>
  </si>
  <si>
    <t>Rationale of bias and applicability rating:</t>
  </si>
  <si>
    <t>Excluding complete sites if data were missing in some variables, likely to have introduced bias but it is less important than to exclude individual participants.</t>
  </si>
  <si>
    <t>The model was developed in a subgroup of patients. These participants represent a selected lower (or higher) risk sample of the original.</t>
  </si>
  <si>
    <t>No information about recruitment methods and exclusion criteria.</t>
  </si>
  <si>
    <t>The model was developed using only data from 2008 in France, because the data collection was particularly exhaustive, comprehensive, and accurate, we did not consider it could introduce bias.</t>
  </si>
  <si>
    <t>2. Predictors</t>
  </si>
  <si>
    <t>2.1 Were predictors defined and assessed in a similar way for all participants?</t>
  </si>
  <si>
    <t>2.2 Were predictor assessments made without knowledge of outcome data?</t>
  </si>
  <si>
    <t>2.3 Are all predictors available at the time the model is intended to be used?</t>
  </si>
  <si>
    <t>Risk of bias introduced by predictors or their assessment</t>
  </si>
  <si>
    <t>Predictors definition and measurement similar for all participants</t>
  </si>
  <si>
    <t>Were predictors assessed blinded for outcome?</t>
  </si>
  <si>
    <t>Timing of predictors measurement</t>
  </si>
  <si>
    <t>Excluded complete sites if data were missing in some variables, likely to have introduced bias but less important than excluding individual participants.</t>
  </si>
  <si>
    <t>There were predictors assessed with subjective interpretation</t>
  </si>
  <si>
    <t>Systolic pulmonary artery pressure predictor could be hard to recovery.</t>
  </si>
  <si>
    <t>Databases were not homogeneous, but authors did an effort to homogenize it, we did not penalized the RoB. Systolic pulmonary artery pressure predictor could be hard to recovery.</t>
  </si>
  <si>
    <t>Databases were not homogeneous, but authors did an effort to homogenize it, we did not penalized the RoB.</t>
  </si>
  <si>
    <t>3. Outcome</t>
  </si>
  <si>
    <t>3.1 Was the outcome determined appropriately?</t>
  </si>
  <si>
    <t>3.2 Was a pre-specified or standard outcome definition used?</t>
  </si>
  <si>
    <t>3.3 Were predictors excluded from the outcome definition?</t>
  </si>
  <si>
    <t>3.4 Was the outcome defined and determined in a similar way for all participants?</t>
  </si>
  <si>
    <t>3.5 Was the outcome determined without knowledge of predictor information?</t>
  </si>
  <si>
    <t>3.6 Was the time interval between predictor assessment and outcome determination appropriate?</t>
  </si>
  <si>
    <t>Risk of bias introduced by the outcome or its determination</t>
  </si>
  <si>
    <t>Outcome definition</t>
  </si>
  <si>
    <t>Same outcome definition for all participants</t>
  </si>
  <si>
    <t>Was the outcome assessed without knowledge of the predictors</t>
  </si>
  <si>
    <t>Were candidate predictors part of outcome?</t>
  </si>
  <si>
    <t>Time of outcome ocurrence</t>
  </si>
  <si>
    <t>4. Analysis</t>
  </si>
  <si>
    <t>4.1 Were there a reasonable number of participants with the outcome?</t>
  </si>
  <si>
    <t>4.2 Were continuous and categorical predictors handled appropriately?</t>
  </si>
  <si>
    <t>4.3 Were all enrolled participants included in the analysis?</t>
  </si>
  <si>
    <t>4.4 Were participants with missing data handled appropriately?</t>
  </si>
  <si>
    <t>4.5 Was selection of predictors based on univariable analysis avoided?</t>
  </si>
  <si>
    <t>4.6 Were complexities in the data accounted for appropriately?</t>
  </si>
  <si>
    <t>4.7 Were relevant model performance measures evaluated appropriately?</t>
  </si>
  <si>
    <t>4.8 Were model overfitting and optimism in model performance accounted for?</t>
  </si>
  <si>
    <t>4.9 Do predictors and their assigned weights in the final model correspond to the results from multivariable analysis?</t>
  </si>
  <si>
    <t>Risk of bias introduced by the analysis</t>
  </si>
  <si>
    <t>Outcome frecuency</t>
  </si>
  <si>
    <t>Event per variable (EPV) or per parameter (EPP)</t>
  </si>
  <si>
    <t>Handling of continuous predictors</t>
  </si>
  <si>
    <t>Number of participants with any missing value</t>
  </si>
  <si>
    <t>Handling of missing data</t>
  </si>
  <si>
    <t>Method for selection of candidate predictors</t>
  </si>
  <si>
    <t>Validation method</t>
  </si>
  <si>
    <t>Performance measures</t>
  </si>
  <si>
    <t>Shrinkage of predictor weights or regression coefficients</t>
  </si>
  <si>
    <t>Large EPV (aprox. 30), but predictors selected based on univariable analysis, random split sample (D:70% and V:30%) and no inform how missing data were handled.</t>
  </si>
  <si>
    <t>Very small EPV, continuous predictors no handled apropiately, probably using complete data and only apparent validation available.</t>
  </si>
  <si>
    <t>EPP not available, no informed about missing data, continuous predictors dichotomized and apparent performance.</t>
  </si>
  <si>
    <t>Very small EPP and apparent validation.</t>
  </si>
  <si>
    <t>Very small EPP, predictors selected based on univariable analysis and continuous predictors categorized based on the best discriminative performance.</t>
  </si>
  <si>
    <t>Predictors were selected based on univariable analysis (p&lt;0.2). Although EPP was sufficiently large and model performance was optimism adjusted, unfortunately calibration measures were tested but not reported, thus we rated it as unclear RoB.</t>
  </si>
  <si>
    <t>Very small EPP and random splitting validation (D:70% and V:30%) and did not inform neither missing data nor continuous predictors were handled.</t>
  </si>
  <si>
    <t>EPP was slightly lower than required but were not univariable selection and model performance was optimism adjusted by bootstrap validation. The complete data analysis were not worrying because only 4 (0.5%) patients were excluded. We did not penalized RoB.</t>
  </si>
  <si>
    <r>
      <rPr>
        <b/>
        <sz val="11"/>
        <color theme="1"/>
        <rFont val="Calibri Light"/>
        <family val="2"/>
        <scheme val="major"/>
      </rPr>
      <t>Table 1.</t>
    </r>
    <r>
      <rPr>
        <sz val="11"/>
        <color theme="1"/>
        <rFont val="Calibri Light"/>
        <family val="2"/>
        <scheme val="major"/>
      </rPr>
      <t xml:space="preserve"> Characteristics of the studies included in the systematic review.</t>
    </r>
  </si>
  <si>
    <t>Author, Year</t>
  </si>
  <si>
    <t>Study design</t>
  </si>
  <si>
    <t>Enrolment period</t>
  </si>
  <si>
    <t>Study region</t>
  </si>
  <si>
    <t>Participant characteristics:</t>
  </si>
  <si>
    <r>
      <rPr>
        <b/>
        <sz val="11"/>
        <color theme="1"/>
        <rFont val="Calibri Light"/>
        <family val="2"/>
        <scheme val="major"/>
      </rPr>
      <t>Table 2.</t>
    </r>
    <r>
      <rPr>
        <sz val="11"/>
        <color theme="1"/>
        <rFont val="Calibri Light"/>
        <family val="2"/>
        <scheme val="major"/>
      </rPr>
      <t xml:space="preserve"> Characteristics of the models included in the systematic review and critical appraisal for risk of bias and applicability.</t>
    </r>
  </si>
  <si>
    <t>Modelling method</t>
  </si>
  <si>
    <t>Sample size</t>
  </si>
  <si>
    <t>Events</t>
  </si>
  <si>
    <t>No predictors</t>
  </si>
  <si>
    <t>EPV or EPP</t>
  </si>
  <si>
    <t xml:space="preserve">Selection of candidate predictors </t>
  </si>
  <si>
    <t>Selection of final predictors</t>
  </si>
  <si>
    <t>Number (%) and handling of missng data</t>
  </si>
  <si>
    <t>Type of validation</t>
  </si>
  <si>
    <t>Critical appraisal (PROBAST)</t>
  </si>
  <si>
    <t>Cand.</t>
  </si>
  <si>
    <t>Final</t>
  </si>
  <si>
    <t>P</t>
  </si>
  <si>
    <t>Pr</t>
  </si>
  <si>
    <t>O</t>
  </si>
  <si>
    <t>A</t>
  </si>
  <si>
    <r>
      <t xml:space="preserve">Table 3. </t>
    </r>
    <r>
      <rPr>
        <sz val="11"/>
        <color theme="1"/>
        <rFont val="Calibri Light"/>
        <family val="2"/>
        <scheme val="major"/>
      </rPr>
      <t>Risk of bias and applicability assessment</t>
    </r>
  </si>
  <si>
    <t>Risk of Bias</t>
  </si>
  <si>
    <t xml:space="preserve">Overall </t>
  </si>
  <si>
    <t xml:space="preserve"> 1. Participants</t>
  </si>
  <si>
    <t xml:space="preserve"> 2. Predictors</t>
  </si>
  <si>
    <t xml:space="preserve"> 3. Outcome</t>
  </si>
  <si>
    <t xml:space="preserve"> 4. Analysis</t>
  </si>
  <si>
    <t xml:space="preserve"> Risk of Bias</t>
  </si>
  <si>
    <t xml:space="preserve"> Applicability</t>
  </si>
  <si>
    <t>CHARMS sheet</t>
  </si>
  <si>
    <t>2.8 Participant description (Measures)</t>
  </si>
  <si>
    <t>7.2 Method for selection of candidate predictors</t>
  </si>
  <si>
    <t>Prospective cohort</t>
  </si>
  <si>
    <t>Mean</t>
  </si>
  <si>
    <t>All available predictors</t>
  </si>
  <si>
    <t>Pre-specified model (not selection)</t>
  </si>
  <si>
    <t>Combined</t>
  </si>
  <si>
    <t>Single imputation</t>
  </si>
  <si>
    <t>Multilevel logistic regression</t>
  </si>
  <si>
    <t>Temporal</t>
  </si>
  <si>
    <t>Sum score</t>
  </si>
  <si>
    <t>Case-control</t>
  </si>
  <si>
    <t>Median</t>
  </si>
  <si>
    <t>Multiple imputation</t>
  </si>
  <si>
    <t>Cox regression</t>
  </si>
  <si>
    <t>Forward selection</t>
  </si>
  <si>
    <t>Non-random split data</t>
  </si>
  <si>
    <t>Nested case-control</t>
  </si>
  <si>
    <t>Machine learning techniques</t>
  </si>
  <si>
    <t>Cross-validation</t>
  </si>
  <si>
    <t>Different setting</t>
  </si>
  <si>
    <t>Score chart</t>
  </si>
  <si>
    <t>Median (min-max)</t>
  </si>
  <si>
    <t>(Add field)</t>
  </si>
  <si>
    <t>Neural network</t>
  </si>
  <si>
    <t>LASSO selection</t>
  </si>
  <si>
    <t>Different investigator</t>
  </si>
  <si>
    <t>Randomized trial</t>
  </si>
  <si>
    <t>Ridge regression</t>
  </si>
  <si>
    <t>Completely independent</t>
  </si>
  <si>
    <t>On-line calculator</t>
  </si>
  <si>
    <t>Combined data (e.g. IPD of combination of cohorts)</t>
  </si>
  <si>
    <t>App calculator</t>
  </si>
  <si>
    <t>Aggregated data</t>
  </si>
  <si>
    <t>Drop-down lists for CHARMS</t>
  </si>
  <si>
    <r>
      <rPr>
        <b/>
        <sz val="11"/>
        <color theme="4" tint="-0.499984740745262"/>
        <rFont val="Calibri"/>
        <family val="2"/>
        <scheme val="minor"/>
      </rPr>
      <t xml:space="preserve">SUMMARY TABLES </t>
    </r>
    <r>
      <rPr>
        <sz val="11"/>
        <color theme="1"/>
        <rFont val="Calibri"/>
        <family val="2"/>
        <scheme val="minor"/>
      </rPr>
      <t xml:space="preserve">
The summary tables will be automatically generated based on the information in the CHARMS and PROBAST forms.
 - Study Characteristics.
 - Model Characteristics.
 - Risk of Bias summary (PROBAST).
Go to:</t>
    </r>
  </si>
  <si>
    <r>
      <rPr>
        <b/>
        <sz val="11"/>
        <color theme="4" tint="-0.499984740745262"/>
        <rFont val="Calibri"/>
        <family val="2"/>
        <scheme val="minor"/>
      </rPr>
      <t>- HOME:</t>
    </r>
    <r>
      <rPr>
        <sz val="11"/>
        <color theme="1"/>
        <rFont val="Calibri"/>
        <family val="2"/>
        <scheme val="minor"/>
      </rPr>
      <t xml:space="preserve"> A description of the material in the file and instructions on how to use it.
</t>
    </r>
    <r>
      <rPr>
        <b/>
        <sz val="11"/>
        <color theme="4" tint="-0.499984740745262"/>
        <rFont val="Calibri"/>
        <family val="2"/>
        <scheme val="minor"/>
      </rPr>
      <t>- SUMMARY:</t>
    </r>
    <r>
      <rPr>
        <sz val="11"/>
        <color theme="1"/>
        <rFont val="Calibri"/>
        <family val="2"/>
        <scheme val="minor"/>
      </rPr>
      <t xml:space="preserve"> Table summarizing the status of the data extraction process and the assessment of bias and applicability.
</t>
    </r>
    <r>
      <rPr>
        <b/>
        <sz val="11"/>
        <color theme="4" tint="-0.499984740745262"/>
        <rFont val="Calibri"/>
        <family val="2"/>
        <scheme val="minor"/>
      </rPr>
      <t>- CHARMS:</t>
    </r>
    <r>
      <rPr>
        <sz val="11"/>
        <color theme="1"/>
        <rFont val="Calibri"/>
        <family val="2"/>
        <scheme val="minor"/>
      </rPr>
      <t xml:space="preserve"> Data extraction form
</t>
    </r>
    <r>
      <rPr>
        <b/>
        <sz val="11"/>
        <color theme="4" tint="-0.499984740745262"/>
        <rFont val="Calibri"/>
        <family val="2"/>
        <scheme val="minor"/>
      </rPr>
      <t>- PROBAST:</t>
    </r>
    <r>
      <rPr>
        <sz val="11"/>
        <color theme="1"/>
        <rFont val="Calibri"/>
        <family val="2"/>
        <scheme val="minor"/>
      </rPr>
      <t xml:space="preserve"> Risk of Bias and Applicability Assessment form
</t>
    </r>
    <r>
      <rPr>
        <b/>
        <sz val="11"/>
        <color theme="4" tint="-0.499984740745262"/>
        <rFont val="Calibri"/>
        <family val="2"/>
        <scheme val="minor"/>
      </rPr>
      <t>- TABLES:</t>
    </r>
    <r>
      <rPr>
        <sz val="11"/>
        <color theme="1"/>
        <rFont val="Calibri"/>
        <family val="2"/>
        <scheme val="minor"/>
      </rPr>
      <t xml:space="preserve"> A proposal tables containing information on study characteristics, models characteristics, and an overview of risk of bias assessment and applicability.</t>
    </r>
  </si>
  <si>
    <t>Fernández-Hidalgo (b)</t>
  </si>
  <si>
    <t>Fernández-Hidalgo (a)</t>
  </si>
  <si>
    <t>Gatti (a)</t>
  </si>
  <si>
    <t>Gatti (b)</t>
  </si>
  <si>
    <t>Gatti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</si>
</sst>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52" x14ac:knownFonts="1">
    <font>
      <sz val="11"/>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i/>
      <sz val="11"/>
      <color theme="1"/>
      <name val="Calibri"/>
      <family val="2"/>
      <scheme val="minor"/>
    </font>
    <font>
      <sz val="8"/>
      <name val="Calibri"/>
      <family val="2"/>
      <scheme val="minor"/>
    </font>
    <font>
      <b/>
      <sz val="12"/>
      <color theme="1"/>
      <name val="Calibri"/>
      <family val="2"/>
      <scheme val="minor"/>
    </font>
    <font>
      <sz val="12"/>
      <color theme="1"/>
      <name val="Calibri"/>
      <family val="2"/>
      <scheme val="minor"/>
    </font>
    <font>
      <b/>
      <sz val="11"/>
      <color theme="8" tint="-0.499984740745262"/>
      <name val="Calibri"/>
      <family val="2"/>
      <scheme val="minor"/>
    </font>
    <font>
      <b/>
      <sz val="10"/>
      <color theme="1"/>
      <name val="Calibri"/>
      <family val="2"/>
      <scheme val="minor"/>
    </font>
    <font>
      <sz val="9"/>
      <color theme="1"/>
      <name val="Calibri"/>
      <family val="2"/>
      <scheme val="minor"/>
    </font>
    <font>
      <b/>
      <sz val="16"/>
      <color theme="1"/>
      <name val="Calibri"/>
      <family val="2"/>
      <scheme val="minor"/>
    </font>
    <font>
      <b/>
      <i/>
      <sz val="10"/>
      <color theme="1"/>
      <name val="Calibri"/>
      <family val="2"/>
      <scheme val="minor"/>
    </font>
    <font>
      <b/>
      <i/>
      <u/>
      <sz val="14"/>
      <color theme="8" tint="-0.249977111117893"/>
      <name val="Calibri"/>
      <family val="2"/>
      <scheme val="minor"/>
    </font>
    <font>
      <sz val="11"/>
      <color theme="0"/>
      <name val="Calibri"/>
      <family val="2"/>
      <scheme val="minor"/>
    </font>
    <font>
      <i/>
      <sz val="9"/>
      <color theme="1"/>
      <name val="Calibri"/>
      <family val="2"/>
      <scheme val="minor"/>
    </font>
    <font>
      <i/>
      <sz val="9"/>
      <color theme="2" tint="-0.499984740745262"/>
      <name val="Calibri"/>
      <family val="2"/>
      <scheme val="minor"/>
    </font>
    <font>
      <sz val="10"/>
      <color theme="1"/>
      <name val="Calibri"/>
      <family val="2"/>
      <scheme val="minor"/>
    </font>
    <font>
      <b/>
      <sz val="10"/>
      <color theme="4" tint="-0.499984740745262"/>
      <name val="Calibri"/>
      <family val="2"/>
      <scheme val="minor"/>
    </font>
    <font>
      <sz val="11"/>
      <name val="Calibri"/>
      <family val="2"/>
      <scheme val="minor"/>
    </font>
    <font>
      <sz val="10"/>
      <color theme="4" tint="-0.499984740745262"/>
      <name val="Calibri"/>
      <family val="2"/>
      <scheme val="minor"/>
    </font>
    <font>
      <vertAlign val="superscript"/>
      <sz val="10"/>
      <color theme="1"/>
      <name val="Calibri"/>
      <family val="2"/>
      <scheme val="minor"/>
    </font>
    <font>
      <sz val="10"/>
      <color theme="0"/>
      <name val="Calibri"/>
      <family val="2"/>
      <scheme val="minor"/>
    </font>
    <font>
      <sz val="11"/>
      <color rgb="FF333333"/>
      <name val="Arial"/>
      <family val="2"/>
    </font>
    <font>
      <b/>
      <sz val="11"/>
      <name val="Calibri"/>
      <family val="2"/>
      <scheme val="minor"/>
    </font>
    <font>
      <u/>
      <sz val="11"/>
      <color theme="10"/>
      <name val="Calibri"/>
      <family val="2"/>
      <scheme val="minor"/>
    </font>
    <font>
      <b/>
      <sz val="12"/>
      <color theme="1"/>
      <name val="Calibri Light"/>
      <family val="2"/>
      <scheme val="major"/>
    </font>
    <font>
      <i/>
      <sz val="10"/>
      <color theme="0" tint="-0.249977111117893"/>
      <name val="Calibri"/>
      <family val="2"/>
      <scheme val="minor"/>
    </font>
    <font>
      <i/>
      <sz val="10"/>
      <color theme="1"/>
      <name val="Calibri"/>
      <family val="2"/>
      <scheme val="minor"/>
    </font>
    <font>
      <sz val="11"/>
      <color theme="1"/>
      <name val="Calibri Light"/>
      <family val="2"/>
      <scheme val="major"/>
    </font>
    <font>
      <b/>
      <sz val="9"/>
      <color theme="1"/>
      <name val="Calibri Light"/>
      <family val="2"/>
      <scheme val="major"/>
    </font>
    <font>
      <sz val="9"/>
      <color theme="1"/>
      <name val="Calibri Light"/>
      <family val="2"/>
      <scheme val="major"/>
    </font>
    <font>
      <sz val="14"/>
      <color theme="1"/>
      <name val="Calibri Light"/>
      <family val="2"/>
      <scheme val="major"/>
    </font>
    <font>
      <b/>
      <sz val="9"/>
      <color theme="4" tint="-0.499984740745262"/>
      <name val="Calibri Light"/>
      <family val="2"/>
      <scheme val="major"/>
    </font>
    <font>
      <sz val="9"/>
      <color theme="0"/>
      <name val="Calibri Light"/>
      <family val="2"/>
      <scheme val="major"/>
    </font>
    <font>
      <b/>
      <sz val="9"/>
      <name val="Calibri Light"/>
      <family val="2"/>
      <scheme val="major"/>
    </font>
    <font>
      <sz val="9"/>
      <name val="Calibri Light"/>
      <family val="2"/>
      <scheme val="major"/>
    </font>
    <font>
      <sz val="10"/>
      <name val="Calibri Light"/>
      <family val="2"/>
      <scheme val="major"/>
    </font>
    <font>
      <b/>
      <sz val="10"/>
      <name val="Calibri Light"/>
      <family val="2"/>
      <scheme val="major"/>
    </font>
    <font>
      <sz val="12"/>
      <name val="Calibri Light"/>
      <family val="2"/>
      <scheme val="major"/>
    </font>
    <font>
      <sz val="12"/>
      <color theme="0"/>
      <name val="Calibri Light"/>
      <family val="2"/>
      <scheme val="major"/>
    </font>
    <font>
      <sz val="11"/>
      <color theme="0"/>
      <name val="Calibri Light"/>
      <family val="2"/>
      <scheme val="major"/>
    </font>
    <font>
      <b/>
      <sz val="16"/>
      <color theme="4" tint="-0.499984740745262"/>
      <name val="Constantia"/>
      <family val="1"/>
    </font>
    <font>
      <b/>
      <sz val="16"/>
      <color theme="8" tint="-0.249977111117893"/>
      <name val="Constantia"/>
      <family val="1"/>
    </font>
    <font>
      <b/>
      <sz val="11"/>
      <color theme="1"/>
      <name val="Calibri Light"/>
      <family val="2"/>
      <scheme val="major"/>
    </font>
    <font>
      <b/>
      <sz val="12"/>
      <color theme="4" tint="-0.499984740745262"/>
      <name val="Calibri"/>
      <family val="2"/>
      <scheme val="minor"/>
    </font>
    <font>
      <sz val="11"/>
      <color theme="4" tint="-0.499984740745262"/>
      <name val="Calibri"/>
      <family val="2"/>
      <scheme val="minor"/>
    </font>
    <font>
      <b/>
      <u/>
      <sz val="14"/>
      <color theme="4" tint="-0.499984740745262"/>
      <name val="Calibri"/>
      <family val="2"/>
      <scheme val="minor"/>
    </font>
    <font>
      <vertAlign val="superscript"/>
      <sz val="11"/>
      <color theme="1"/>
      <name val="Calibri"/>
      <family val="2"/>
      <scheme val="minor"/>
    </font>
    <font>
      <b/>
      <sz val="12"/>
      <color rgb="FF0070C0"/>
      <name val="Calibri"/>
      <family val="2"/>
      <scheme val="minor"/>
    </font>
    <font>
      <b/>
      <sz val="11"/>
      <color rgb="FF0070C0"/>
      <name val="Calibri"/>
      <family val="2"/>
      <scheme val="minor"/>
    </font>
    <font>
      <b/>
      <sz val="11"/>
      <color theme="4" tint="-0.499984740745262"/>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2"/>
        <bgColor indexed="64"/>
      </patternFill>
    </fill>
    <fill>
      <patternFill patternType="solid">
        <fgColor theme="8" tint="-0.499984740745262"/>
        <bgColor indexed="64"/>
      </patternFill>
    </fill>
  </fills>
  <borders count="131">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theme="4" tint="-0.499984740745262"/>
      </bottom>
      <diagonal/>
    </border>
    <border>
      <left style="thin">
        <color theme="0"/>
      </left>
      <right style="thin">
        <color theme="0"/>
      </right>
      <top/>
      <bottom style="thin">
        <color theme="0"/>
      </bottom>
      <diagonal/>
    </border>
    <border>
      <left/>
      <right/>
      <top style="thin">
        <color theme="4" tint="-0.499984740745262"/>
      </top>
      <bottom style="thin">
        <color theme="2"/>
      </bottom>
      <diagonal/>
    </border>
    <border>
      <left/>
      <right/>
      <top style="thin">
        <color theme="2"/>
      </top>
      <bottom style="thin">
        <color theme="4" tint="-0.499984740745262"/>
      </bottom>
      <diagonal/>
    </border>
    <border>
      <left style="thin">
        <color theme="0"/>
      </left>
      <right style="thin">
        <color theme="0"/>
      </right>
      <top style="medium">
        <color theme="4" tint="-0.499984740745262"/>
      </top>
      <bottom style="thin">
        <color theme="0"/>
      </bottom>
      <diagonal/>
    </border>
    <border>
      <left/>
      <right/>
      <top style="thin">
        <color theme="2"/>
      </top>
      <bottom style="thin">
        <color theme="2"/>
      </bottom>
      <diagonal/>
    </border>
    <border>
      <left/>
      <right style="thin">
        <color theme="4" tint="-0.499984740745262"/>
      </right>
      <top style="thin">
        <color theme="2"/>
      </top>
      <bottom style="thin">
        <color theme="2"/>
      </bottom>
      <diagonal/>
    </border>
    <border>
      <left/>
      <right/>
      <top/>
      <bottom style="thin">
        <color theme="2"/>
      </bottom>
      <diagonal/>
    </border>
    <border>
      <left/>
      <right style="thin">
        <color theme="4" tint="-0.499984740745262"/>
      </right>
      <top style="thin">
        <color theme="2"/>
      </top>
      <bottom style="thin">
        <color theme="4" tint="-0.499984740745262"/>
      </bottom>
      <diagonal/>
    </border>
    <border>
      <left style="thin">
        <color theme="0"/>
      </left>
      <right/>
      <top style="thin">
        <color theme="2"/>
      </top>
      <bottom style="thin">
        <color theme="2"/>
      </bottom>
      <diagonal/>
    </border>
    <border>
      <left style="thin">
        <color theme="0"/>
      </left>
      <right style="thin">
        <color theme="0"/>
      </right>
      <top style="thin">
        <color theme="0"/>
      </top>
      <bottom/>
      <diagonal/>
    </border>
    <border>
      <left style="thin">
        <color theme="0"/>
      </left>
      <right style="thin">
        <color theme="0"/>
      </right>
      <top style="thin">
        <color theme="4" tint="-0.499984740745262"/>
      </top>
      <bottom style="thin">
        <color theme="4" tint="-0.499984740745262"/>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4" tint="-0.499984740745262"/>
      </right>
      <top style="thin">
        <color theme="4" tint="-0.499984740745262"/>
      </top>
      <bottom style="thin">
        <color theme="4" tint="-0.499984740745262"/>
      </bottom>
      <diagonal/>
    </border>
    <border>
      <left/>
      <right style="thin">
        <color theme="4" tint="-0.499984740745262"/>
      </right>
      <top style="thin">
        <color theme="2"/>
      </top>
      <bottom/>
      <diagonal/>
    </border>
    <border>
      <left/>
      <right/>
      <top style="thin">
        <color theme="2"/>
      </top>
      <bottom/>
      <diagonal/>
    </border>
    <border>
      <left/>
      <right style="thin">
        <color theme="4" tint="-0.499984740745262"/>
      </right>
      <top/>
      <bottom style="thin">
        <color theme="2"/>
      </bottom>
      <diagonal/>
    </border>
    <border>
      <left/>
      <right/>
      <top/>
      <bottom style="thin">
        <color theme="4" tint="-0.499984740745262"/>
      </bottom>
      <diagonal/>
    </border>
    <border>
      <left style="medium">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right/>
      <top style="thin">
        <color theme="4" tint="-0.499984740745262"/>
      </top>
      <bottom style="thin">
        <color theme="4" tint="-0.499984740745262"/>
      </bottom>
      <diagonal/>
    </border>
    <border>
      <left style="thin">
        <color theme="0"/>
      </left>
      <right style="thin">
        <color theme="0"/>
      </right>
      <top style="thin">
        <color theme="4" tint="-0.499984740745262"/>
      </top>
      <bottom style="thin">
        <color theme="0"/>
      </bottom>
      <diagonal/>
    </border>
    <border>
      <left/>
      <right style="thin">
        <color theme="4" tint="-0.499984740745262"/>
      </right>
      <top/>
      <bottom style="medium">
        <color theme="4" tint="-0.499984740745262"/>
      </bottom>
      <diagonal/>
    </border>
    <border>
      <left/>
      <right/>
      <top style="medium">
        <color theme="4" tint="-0.499984740745262"/>
      </top>
      <bottom style="thin">
        <color theme="4" tint="-0.499984740745262"/>
      </bottom>
      <diagonal/>
    </border>
    <border>
      <left style="thin">
        <color theme="4" tint="-0.499984740745262"/>
      </left>
      <right/>
      <top style="medium">
        <color theme="4" tint="-0.499984740745262"/>
      </top>
      <bottom style="thin">
        <color theme="4" tint="-0.499984740745262"/>
      </bottom>
      <diagonal/>
    </border>
    <border>
      <left/>
      <right style="thin">
        <color theme="4" tint="-0.499984740745262"/>
      </right>
      <top style="medium">
        <color theme="4" tint="-0.499984740745262"/>
      </top>
      <bottom style="thin">
        <color theme="4" tint="-0.499984740745262"/>
      </bottom>
      <diagonal/>
    </border>
    <border>
      <left style="thin">
        <color theme="4" tint="-0.499984740745262"/>
      </left>
      <right/>
      <top style="thin">
        <color theme="2"/>
      </top>
      <bottom style="thin">
        <color theme="4" tint="-0.499984740745262"/>
      </bottom>
      <diagonal/>
    </border>
    <border>
      <left style="thin">
        <color theme="4" tint="-0.499984740745262"/>
      </left>
      <right/>
      <top style="thin">
        <color theme="2"/>
      </top>
      <bottom style="thin">
        <color theme="2"/>
      </bottom>
      <diagonal/>
    </border>
    <border>
      <left style="thin">
        <color theme="4" tint="-0.499984740745262"/>
      </left>
      <right/>
      <top style="thin">
        <color theme="4" tint="-0.499984740745262"/>
      </top>
      <bottom style="thin">
        <color theme="2"/>
      </bottom>
      <diagonal/>
    </border>
    <border>
      <left style="thin">
        <color theme="4" tint="-0.499984740745262"/>
      </left>
      <right/>
      <top/>
      <bottom style="thin">
        <color theme="2"/>
      </bottom>
      <diagonal/>
    </border>
    <border>
      <left/>
      <right/>
      <top style="thin">
        <color indexed="64"/>
      </top>
      <bottom style="thin">
        <color indexed="64"/>
      </bottom>
      <diagonal/>
    </border>
    <border>
      <left/>
      <right/>
      <top style="thin">
        <color auto="1"/>
      </top>
      <bottom/>
      <diagonal/>
    </border>
    <border>
      <left style="thin">
        <color theme="4" tint="-0.499984740745262"/>
      </left>
      <right/>
      <top style="thin">
        <color theme="4" tint="-0.499984740745262"/>
      </top>
      <bottom style="thin">
        <color theme="4" tint="-0.499984740745262"/>
      </bottom>
      <diagonal/>
    </border>
    <border>
      <left style="thin">
        <color theme="4" tint="-0.499984740745262"/>
      </left>
      <right/>
      <top/>
      <bottom style="thin">
        <color theme="4" tint="-0.499984740745262"/>
      </bottom>
      <diagonal/>
    </border>
    <border>
      <left style="thin">
        <color theme="8" tint="-0.499984740745262"/>
      </left>
      <right style="thin">
        <color theme="0"/>
      </right>
      <top style="thin">
        <color theme="4" tint="-0.499984740745262"/>
      </top>
      <bottom style="thin">
        <color theme="8" tint="-0.499984740745262"/>
      </bottom>
      <diagonal/>
    </border>
    <border>
      <left style="thin">
        <color theme="0"/>
      </left>
      <right style="thin">
        <color theme="0"/>
      </right>
      <top style="thin">
        <color theme="4" tint="-0.499984740745262"/>
      </top>
      <bottom style="thin">
        <color theme="8" tint="-0.499984740745262"/>
      </bottom>
      <diagonal/>
    </border>
    <border>
      <left/>
      <right style="thin">
        <color theme="4" tint="-0.499984740745262"/>
      </right>
      <top style="thin">
        <color theme="4" tint="-0.499984740745262"/>
      </top>
      <bottom style="thin">
        <color theme="8" tint="-0.499984740745262"/>
      </bottom>
      <diagonal/>
    </border>
    <border>
      <left style="thin">
        <color theme="4" tint="-0.499984740745262"/>
      </left>
      <right/>
      <top style="thin">
        <color theme="4" tint="-0.499984740745262"/>
      </top>
      <bottom style="thin">
        <color theme="8" tint="-0.499984740745262"/>
      </bottom>
      <diagonal/>
    </border>
    <border>
      <left/>
      <right/>
      <top style="thin">
        <color theme="4" tint="-0.499984740745262"/>
      </top>
      <bottom style="thin">
        <color theme="8" tint="-0.499984740745262"/>
      </bottom>
      <diagonal/>
    </border>
    <border>
      <left style="thin">
        <color theme="0"/>
      </left>
      <right/>
      <top style="thin">
        <color theme="4" tint="-0.499984740745262"/>
      </top>
      <bottom/>
      <diagonal/>
    </border>
    <border>
      <left/>
      <right/>
      <top style="thin">
        <color theme="4" tint="-0.499984740745262"/>
      </top>
      <bottom/>
      <diagonal/>
    </border>
    <border>
      <left style="thin">
        <color theme="0"/>
      </left>
      <right/>
      <top/>
      <bottom style="medium">
        <color theme="4" tint="-0.499984740745262"/>
      </bottom>
      <diagonal/>
    </border>
    <border>
      <left/>
      <right/>
      <top/>
      <bottom style="medium">
        <color theme="4" tint="-0.499984740745262"/>
      </bottom>
      <diagonal/>
    </border>
    <border>
      <left style="thin">
        <color theme="4" tint="-0.499984740745262"/>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style="medium">
        <color theme="4" tint="-0.499984740745262"/>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top style="thin">
        <color theme="2"/>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thin">
        <color theme="4" tint="-0.499984740745262"/>
      </right>
      <top style="thin">
        <color theme="4" tint="-0.499984740745262"/>
      </top>
      <bottom style="thin">
        <color theme="0"/>
      </bottom>
      <diagonal/>
    </border>
    <border>
      <left style="thin">
        <color theme="4" tint="-0.499984740745262"/>
      </left>
      <right style="thin">
        <color theme="4" tint="-0.499984740745262"/>
      </right>
      <top style="thin">
        <color theme="0"/>
      </top>
      <bottom style="thin">
        <color theme="4" tint="-0.499984740745262"/>
      </bottom>
      <diagonal/>
    </border>
    <border>
      <left style="thin">
        <color theme="4" tint="-0.499984740745262"/>
      </left>
      <right style="thin">
        <color theme="4" tint="-0.499984740745262"/>
      </right>
      <top style="thin">
        <color theme="0"/>
      </top>
      <bottom style="thin">
        <color theme="0"/>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thin">
        <color theme="4" tint="-0.499984740745262"/>
      </top>
      <bottom style="thin">
        <color theme="0" tint="-4.9989318521683403E-2"/>
      </bottom>
      <diagonal/>
    </border>
    <border>
      <left style="thin">
        <color theme="4" tint="-0.499984740745262"/>
      </left>
      <right style="thin">
        <color theme="4" tint="-0.499984740745262"/>
      </right>
      <top style="thin">
        <color theme="0" tint="-4.9989318521683403E-2"/>
      </top>
      <bottom style="thin">
        <color theme="0" tint="-4.9989318521683403E-2"/>
      </bottom>
      <diagonal/>
    </border>
    <border>
      <left style="thin">
        <color theme="4" tint="-0.499984740745262"/>
      </left>
      <right style="thin">
        <color theme="4" tint="-0.499984740745262"/>
      </right>
      <top style="thin">
        <color theme="0" tint="-4.9989318521683403E-2"/>
      </top>
      <bottom style="thin">
        <color theme="4" tint="-0.499984740745262"/>
      </bottom>
      <diagonal/>
    </border>
    <border>
      <left style="thin">
        <color theme="4" tint="-0.499984740745262"/>
      </left>
      <right style="thin">
        <color theme="4" tint="-0.499984740745262"/>
      </right>
      <top/>
      <bottom style="thin">
        <color theme="0" tint="-4.9989318521683403E-2"/>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theme="0"/>
      </left>
      <right/>
      <top style="thin">
        <color theme="4" tint="-0.499984740745262"/>
      </top>
      <bottom style="thin">
        <color theme="2"/>
      </bottom>
      <diagonal/>
    </border>
    <border>
      <left/>
      <right style="thin">
        <color theme="4" tint="-0.499984740745262"/>
      </right>
      <top style="thin">
        <color theme="4" tint="-0.499984740745262"/>
      </top>
      <bottom style="thin">
        <color theme="2"/>
      </bottom>
      <diagonal/>
    </border>
    <border>
      <left style="thin">
        <color theme="0"/>
      </left>
      <right/>
      <top style="thin">
        <color theme="2"/>
      </top>
      <bottom/>
      <diagonal/>
    </border>
    <border>
      <left style="thin">
        <color theme="0"/>
      </left>
      <right/>
      <top style="thin">
        <color theme="4" tint="-0.499984740745262"/>
      </top>
      <bottom style="thin">
        <color theme="4" tint="-0.499984740745262"/>
      </bottom>
      <diagonal/>
    </border>
    <border>
      <left style="thin">
        <color theme="0"/>
      </left>
      <right/>
      <top style="thin">
        <color theme="2"/>
      </top>
      <bottom style="thin">
        <color theme="4" tint="-0.499984740745262"/>
      </bottom>
      <diagonal/>
    </border>
    <border>
      <left style="thin">
        <color theme="0"/>
      </left>
      <right/>
      <top/>
      <bottom style="thin">
        <color theme="2"/>
      </bottom>
      <diagonal/>
    </border>
    <border>
      <left/>
      <right/>
      <top style="thin">
        <color theme="8" tint="-0.499984740745262"/>
      </top>
      <bottom style="thin">
        <color theme="4" tint="-0.499984740745262"/>
      </bottom>
      <diagonal/>
    </border>
    <border>
      <left style="thin">
        <color theme="0"/>
      </left>
      <right/>
      <top style="thin">
        <color theme="4" tint="-0.499984740745262"/>
      </top>
      <bottom style="thin">
        <color theme="8" tint="-0.499984740745262"/>
      </bottom>
      <diagonal/>
    </border>
    <border>
      <left style="thin">
        <color theme="4" tint="-0.499984740745262"/>
      </left>
      <right style="thin">
        <color theme="0" tint="-0.14996795556505021"/>
      </right>
      <top style="thin">
        <color theme="4" tint="-0.499984740745262"/>
      </top>
      <bottom style="thin">
        <color theme="2"/>
      </bottom>
      <diagonal/>
    </border>
    <border>
      <left style="thin">
        <color theme="0" tint="-0.14996795556505021"/>
      </left>
      <right style="thin">
        <color theme="0" tint="-0.14996795556505021"/>
      </right>
      <top style="thin">
        <color theme="4" tint="-0.499984740745262"/>
      </top>
      <bottom style="thin">
        <color theme="2"/>
      </bottom>
      <diagonal/>
    </border>
    <border>
      <left style="thin">
        <color theme="0" tint="-0.14996795556505021"/>
      </left>
      <right/>
      <top style="thin">
        <color theme="4" tint="-0.499984740745262"/>
      </top>
      <bottom style="thin">
        <color theme="2"/>
      </bottom>
      <diagonal/>
    </border>
    <border>
      <left style="thin">
        <color theme="4" tint="-0.499984740745262"/>
      </left>
      <right style="thin">
        <color theme="0" tint="-0.14996795556505021"/>
      </right>
      <top style="thin">
        <color theme="2"/>
      </top>
      <bottom style="thin">
        <color theme="2"/>
      </bottom>
      <diagonal/>
    </border>
    <border>
      <left style="thin">
        <color theme="0" tint="-0.14996795556505021"/>
      </left>
      <right style="thin">
        <color theme="0" tint="-0.14996795556505021"/>
      </right>
      <top style="thin">
        <color theme="2"/>
      </top>
      <bottom style="thin">
        <color theme="2"/>
      </bottom>
      <diagonal/>
    </border>
    <border>
      <left style="thin">
        <color theme="0" tint="-0.14996795556505021"/>
      </left>
      <right/>
      <top style="thin">
        <color theme="2"/>
      </top>
      <bottom style="thin">
        <color theme="2"/>
      </bottom>
      <diagonal/>
    </border>
    <border>
      <left style="thin">
        <color theme="4" tint="-0.499984740745262"/>
      </left>
      <right style="thin">
        <color theme="0" tint="-0.14996795556505021"/>
      </right>
      <top style="thin">
        <color theme="2"/>
      </top>
      <bottom style="thin">
        <color theme="4" tint="-0.499984740745262"/>
      </bottom>
      <diagonal/>
    </border>
    <border>
      <left style="thin">
        <color theme="0" tint="-0.14996795556505021"/>
      </left>
      <right style="thin">
        <color theme="0" tint="-0.14996795556505021"/>
      </right>
      <top style="thin">
        <color theme="2"/>
      </top>
      <bottom style="thin">
        <color theme="4" tint="-0.499984740745262"/>
      </bottom>
      <diagonal/>
    </border>
    <border>
      <left style="thin">
        <color theme="0" tint="-0.14996795556505021"/>
      </left>
      <right/>
      <top style="thin">
        <color theme="2"/>
      </top>
      <bottom style="thin">
        <color theme="4" tint="-0.499984740745262"/>
      </bottom>
      <diagonal/>
    </border>
    <border>
      <left style="medium">
        <color indexed="64"/>
      </left>
      <right/>
      <top/>
      <bottom/>
      <diagonal/>
    </border>
    <border>
      <left/>
      <right style="medium">
        <color indexed="64"/>
      </right>
      <top/>
      <bottom/>
      <diagonal/>
    </border>
    <border>
      <left/>
      <right style="thin">
        <color theme="0"/>
      </right>
      <top/>
      <bottom/>
      <diagonal/>
    </border>
    <border>
      <left style="thin">
        <color theme="0"/>
      </left>
      <right style="thin">
        <color theme="0"/>
      </right>
      <top/>
      <bottom/>
      <diagonal/>
    </border>
    <border>
      <left style="thin">
        <color theme="0"/>
      </left>
      <right style="medium">
        <color indexed="64"/>
      </right>
      <top/>
      <bottom/>
      <diagonal/>
    </border>
    <border>
      <left style="medium">
        <color indexed="64"/>
      </left>
      <right style="thin">
        <color theme="0"/>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right style="double">
        <color indexed="64"/>
      </right>
      <top style="thin">
        <color indexed="64"/>
      </top>
      <bottom/>
      <diagonal/>
    </border>
    <border>
      <left style="double">
        <color indexed="64"/>
      </left>
      <right/>
      <top style="thin">
        <color indexed="64"/>
      </top>
      <bottom/>
      <diagonal/>
    </border>
    <border>
      <left/>
      <right style="medium">
        <color indexed="64"/>
      </right>
      <top/>
      <bottom style="thin">
        <color indexed="64"/>
      </bottom>
      <diagonal/>
    </border>
    <border>
      <left/>
      <right style="thin">
        <color theme="0"/>
      </right>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0"/>
      </right>
      <top style="thin">
        <color theme="1"/>
      </top>
      <bottom style="thin">
        <color theme="1"/>
      </bottom>
      <diagonal/>
    </border>
    <border>
      <left/>
      <right style="thin">
        <color theme="0"/>
      </right>
      <top style="thin">
        <color theme="1"/>
      </top>
      <bottom style="thin">
        <color theme="1"/>
      </bottom>
      <diagonal/>
    </border>
    <border>
      <left style="thin">
        <color theme="0"/>
      </left>
      <right/>
      <top style="thin">
        <color theme="1"/>
      </top>
      <bottom style="thin">
        <color theme="1"/>
      </bottom>
      <diagonal/>
    </border>
    <border>
      <left style="thin">
        <color theme="0"/>
      </left>
      <right/>
      <top style="thin">
        <color theme="0"/>
      </top>
      <bottom style="medium">
        <color indexed="64"/>
      </bottom>
      <diagonal/>
    </border>
    <border>
      <left/>
      <right/>
      <top style="thin">
        <color theme="0"/>
      </top>
      <bottom style="medium">
        <color indexed="64"/>
      </bottom>
      <diagonal/>
    </border>
    <border>
      <left/>
      <right style="thin">
        <color theme="0"/>
      </right>
      <top style="thin">
        <color theme="0"/>
      </top>
      <bottom style="medium">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right/>
      <top/>
      <bottom style="thin">
        <color theme="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0"/>
      </left>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0"/>
      </left>
      <right/>
      <top/>
      <bottom/>
      <diagonal/>
    </border>
    <border>
      <left style="medium">
        <color theme="4" tint="-0.499984740745262"/>
      </left>
      <right/>
      <top/>
      <bottom style="medium">
        <color theme="0"/>
      </bottom>
      <diagonal/>
    </border>
    <border>
      <left/>
      <right/>
      <top/>
      <bottom style="medium">
        <color theme="0"/>
      </bottom>
      <diagonal/>
    </border>
    <border>
      <left style="medium">
        <color theme="0"/>
      </left>
      <right/>
      <top/>
      <bottom style="medium">
        <color theme="0"/>
      </bottom>
      <diagonal/>
    </border>
    <border>
      <left/>
      <right style="medium">
        <color theme="4" tint="-0.499984740745262"/>
      </right>
      <top/>
      <bottom style="medium">
        <color theme="0"/>
      </bottom>
      <diagonal/>
    </border>
    <border>
      <left style="medium">
        <color theme="4" tint="-0.499984740745262"/>
      </left>
      <right/>
      <top/>
      <bottom style="medium">
        <color theme="4" tint="-0.499984740745262"/>
      </bottom>
      <diagonal/>
    </border>
    <border>
      <left/>
      <right style="medium">
        <color theme="4" tint="-0.499984740745262"/>
      </right>
      <top/>
      <bottom style="medium">
        <color theme="4" tint="-0.499984740745262"/>
      </bottom>
      <diagonal/>
    </border>
  </borders>
  <cellStyleXfs count="3">
    <xf numFmtId="0" fontId="0" fillId="0" borderId="0"/>
    <xf numFmtId="9" fontId="2" fillId="0" borderId="0" applyFont="0" applyFill="0" applyBorder="0" applyAlignment="0" applyProtection="0"/>
    <xf numFmtId="0" fontId="25" fillId="0" borderId="0" applyNumberFormat="0" applyFill="0" applyBorder="0" applyAlignment="0" applyProtection="0"/>
  </cellStyleXfs>
  <cellXfs count="390">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1" xfId="0" applyBorder="1"/>
    <xf numFmtId="0" fontId="0" fillId="0" borderId="1" xfId="0" applyBorder="1" applyAlignment="1">
      <alignment vertical="top"/>
    </xf>
    <xf numFmtId="0" fontId="0" fillId="0" borderId="1" xfId="0" applyBorder="1" applyAlignment="1">
      <alignment horizontal="center" vertical="center"/>
    </xf>
    <xf numFmtId="0" fontId="0" fillId="0" borderId="1" xfId="0" applyBorder="1" applyAlignment="1">
      <alignment horizontal="left" vertical="center"/>
    </xf>
    <xf numFmtId="0" fontId="1" fillId="0" borderId="12" xfId="0" applyFont="1" applyBorder="1" applyAlignment="1">
      <alignment horizontal="left" vertical="center"/>
    </xf>
    <xf numFmtId="0" fontId="1" fillId="0" borderId="12" xfId="0" applyFont="1" applyBorder="1" applyAlignment="1">
      <alignment horizontal="center" vertical="center"/>
    </xf>
    <xf numFmtId="0" fontId="0" fillId="0" borderId="12" xfId="0" applyBorder="1" applyAlignment="1">
      <alignment horizontal="left" vertical="center"/>
    </xf>
    <xf numFmtId="0" fontId="0" fillId="0" borderId="12" xfId="0" applyBorder="1"/>
    <xf numFmtId="0" fontId="0" fillId="0" borderId="3" xfId="0" applyBorder="1"/>
    <xf numFmtId="0" fontId="7" fillId="0" borderId="1" xfId="0" applyFont="1" applyBorder="1"/>
    <xf numFmtId="0" fontId="17" fillId="0" borderId="0" xfId="0" applyFont="1" applyAlignment="1">
      <alignment horizontal="center" vertical="center"/>
    </xf>
    <xf numFmtId="0" fontId="17" fillId="0" borderId="0" xfId="0" applyFont="1"/>
    <xf numFmtId="0" fontId="0" fillId="0" borderId="1" xfId="0" quotePrefix="1" applyBorder="1" applyAlignment="1">
      <alignment horizontal="left" indent="2"/>
    </xf>
    <xf numFmtId="0" fontId="13" fillId="0" borderId="0" xfId="0" applyFont="1"/>
    <xf numFmtId="0" fontId="6" fillId="0" borderId="0" xfId="0" applyFont="1"/>
    <xf numFmtId="0" fontId="7" fillId="0" borderId="0" xfId="0" applyFont="1" applyAlignment="1">
      <alignment wrapText="1"/>
    </xf>
    <xf numFmtId="0" fontId="0" fillId="0" borderId="0" xfId="0" applyAlignment="1">
      <alignment horizontal="right"/>
    </xf>
    <xf numFmtId="0" fontId="8" fillId="0" borderId="0" xfId="0" applyFont="1" applyAlignment="1">
      <alignment horizontal="right" indent="1"/>
    </xf>
    <xf numFmtId="0" fontId="17" fillId="0" borderId="34" xfId="0" applyFont="1" applyBorder="1" applyAlignment="1">
      <alignment horizontal="center" vertical="center"/>
    </xf>
    <xf numFmtId="0" fontId="17" fillId="0" borderId="34" xfId="0" applyFont="1" applyBorder="1" applyAlignment="1" applyProtection="1">
      <alignment vertical="center"/>
      <protection locked="0"/>
    </xf>
    <xf numFmtId="0" fontId="9" fillId="4" borderId="34" xfId="0" applyFont="1" applyFill="1" applyBorder="1" applyAlignment="1">
      <alignment horizontal="center" vertical="center" wrapText="1"/>
    </xf>
    <xf numFmtId="0" fontId="9" fillId="4" borderId="34" xfId="0" applyFont="1" applyFill="1" applyBorder="1" applyAlignment="1">
      <alignment horizontal="center" vertical="center"/>
    </xf>
    <xf numFmtId="0" fontId="23" fillId="0" borderId="0" xfId="0" applyFont="1"/>
    <xf numFmtId="0" fontId="17" fillId="0" borderId="34" xfId="0" applyFont="1" applyBorder="1" applyAlignment="1" applyProtection="1">
      <alignment horizontal="center" vertical="center"/>
      <protection locked="0"/>
    </xf>
    <xf numFmtId="0" fontId="17" fillId="0" borderId="55" xfId="0" applyFont="1" applyBorder="1" applyAlignment="1" applyProtection="1">
      <alignment horizontal="center" vertical="top" wrapText="1"/>
      <protection locked="0"/>
    </xf>
    <xf numFmtId="0" fontId="17" fillId="0" borderId="56" xfId="0" applyFont="1" applyBorder="1" applyAlignment="1" applyProtection="1">
      <alignment horizontal="center" vertical="top" wrapText="1"/>
      <protection locked="0"/>
    </xf>
    <xf numFmtId="0" fontId="15" fillId="0" borderId="53" xfId="0" applyFont="1" applyBorder="1" applyAlignment="1" applyProtection="1">
      <alignment horizontal="center" vertical="top" wrapText="1"/>
      <protection locked="0"/>
    </xf>
    <xf numFmtId="0" fontId="17" fillId="0" borderId="57" xfId="0" applyFont="1" applyBorder="1" applyAlignment="1" applyProtection="1">
      <alignment horizontal="center" vertical="top" wrapText="1"/>
      <protection locked="0"/>
    </xf>
    <xf numFmtId="0" fontId="15" fillId="0" borderId="58" xfId="0" applyFont="1" applyBorder="1" applyAlignment="1" applyProtection="1">
      <alignment horizontal="center" vertical="top" wrapText="1"/>
      <protection locked="0"/>
    </xf>
    <xf numFmtId="0" fontId="1" fillId="2" borderId="53" xfId="0" applyFont="1" applyFill="1" applyBorder="1" applyAlignment="1" applyProtection="1">
      <alignment horizontal="center" vertical="center" wrapText="1"/>
      <protection locked="0"/>
    </xf>
    <xf numFmtId="0" fontId="1" fillId="2" borderId="55" xfId="0" applyFont="1" applyFill="1" applyBorder="1" applyAlignment="1" applyProtection="1">
      <alignment horizontal="center" vertical="center" wrapText="1"/>
      <protection locked="0"/>
    </xf>
    <xf numFmtId="0" fontId="1" fillId="2" borderId="56" xfId="0" applyFont="1" applyFill="1" applyBorder="1" applyAlignment="1" applyProtection="1">
      <alignment horizontal="center" vertical="center" wrapText="1"/>
      <protection locked="0"/>
    </xf>
    <xf numFmtId="0" fontId="0" fillId="0" borderId="0" xfId="0" applyAlignment="1">
      <alignment horizontal="right" vertical="center"/>
    </xf>
    <xf numFmtId="0" fontId="26" fillId="0" borderId="0" xfId="0" applyFont="1"/>
    <xf numFmtId="0" fontId="17" fillId="0" borderId="52" xfId="0" applyFont="1" applyBorder="1" applyAlignment="1" applyProtection="1">
      <alignment horizontal="center" vertical="top" wrapText="1"/>
      <protection locked="0"/>
    </xf>
    <xf numFmtId="0" fontId="17" fillId="0" borderId="19" xfId="0" applyFont="1" applyBorder="1" applyAlignment="1" applyProtection="1">
      <alignment horizontal="center" vertical="top" wrapText="1"/>
      <protection locked="0"/>
    </xf>
    <xf numFmtId="0" fontId="43" fillId="0" borderId="0" xfId="0" applyFont="1"/>
    <xf numFmtId="0" fontId="0" fillId="0" borderId="12" xfId="0" applyBorder="1" applyAlignment="1">
      <alignment horizontal="center" vertical="center"/>
    </xf>
    <xf numFmtId="0" fontId="22" fillId="0" borderId="35"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0" xfId="0" applyFont="1" applyProtection="1">
      <protection locked="0"/>
    </xf>
    <xf numFmtId="0" fontId="0" fillId="0" borderId="34" xfId="0" applyBorder="1" applyAlignment="1" applyProtection="1">
      <alignment horizontal="center" vertical="center"/>
      <protection hidden="1"/>
    </xf>
    <xf numFmtId="0" fontId="1" fillId="0" borderId="0" xfId="0" applyFont="1" applyAlignment="1" applyProtection="1">
      <alignment horizontal="left"/>
      <protection hidden="1"/>
    </xf>
    <xf numFmtId="0" fontId="17" fillId="4" borderId="17" xfId="0" applyFont="1" applyFill="1" applyBorder="1" applyAlignment="1" applyProtection="1">
      <alignment horizontal="center" vertical="top" wrapText="1"/>
      <protection locked="0"/>
    </xf>
    <xf numFmtId="0" fontId="17" fillId="4" borderId="48" xfId="0" applyFont="1" applyFill="1" applyBorder="1" applyAlignment="1" applyProtection="1">
      <alignment horizontal="center" vertical="top" wrapText="1"/>
      <protection locked="0"/>
    </xf>
    <xf numFmtId="0" fontId="19" fillId="4" borderId="24" xfId="0" applyFont="1" applyFill="1" applyBorder="1" applyAlignment="1" applyProtection="1">
      <alignment horizontal="center" vertical="center" wrapText="1"/>
      <protection hidden="1"/>
    </xf>
    <xf numFmtId="0" fontId="0" fillId="4" borderId="24" xfId="0" applyFill="1" applyBorder="1" applyAlignment="1" applyProtection="1">
      <alignment horizontal="center" vertical="top" wrapText="1"/>
      <protection hidden="1"/>
    </xf>
    <xf numFmtId="0" fontId="0" fillId="4" borderId="24" xfId="0" applyFill="1" applyBorder="1" applyAlignment="1" applyProtection="1">
      <alignment horizontal="center" vertical="center" wrapText="1"/>
      <protection hidden="1"/>
    </xf>
    <xf numFmtId="0" fontId="0" fillId="4" borderId="36" xfId="0" applyFill="1" applyBorder="1" applyAlignment="1" applyProtection="1">
      <alignment horizontal="center" vertical="center" wrapText="1"/>
      <protection hidden="1"/>
    </xf>
    <xf numFmtId="0" fontId="17" fillId="4" borderId="24" xfId="0" applyFont="1" applyFill="1" applyBorder="1" applyAlignment="1" applyProtection="1">
      <alignment horizontal="center" vertical="top" wrapText="1"/>
      <protection hidden="1"/>
    </xf>
    <xf numFmtId="0" fontId="17" fillId="4" borderId="44" xfId="0" applyFont="1" applyFill="1" applyBorder="1" applyAlignment="1" applyProtection="1">
      <alignment horizontal="center" vertical="top" wrapText="1"/>
      <protection hidden="1"/>
    </xf>
    <xf numFmtId="0" fontId="0" fillId="4" borderId="21" xfId="0" applyFill="1" applyBorder="1" applyAlignment="1" applyProtection="1">
      <alignment horizontal="center" vertical="center" wrapText="1"/>
      <protection hidden="1"/>
    </xf>
    <xf numFmtId="0" fontId="0" fillId="4" borderId="21" xfId="0" applyFill="1" applyBorder="1" applyAlignment="1" applyProtection="1">
      <alignment horizontal="center" vertical="top" wrapText="1"/>
      <protection hidden="1"/>
    </xf>
    <xf numFmtId="0" fontId="0" fillId="4" borderId="37" xfId="0" applyFill="1" applyBorder="1" applyAlignment="1" applyProtection="1">
      <alignment horizontal="center" vertical="center" wrapText="1"/>
      <protection hidden="1"/>
    </xf>
    <xf numFmtId="0" fontId="28" fillId="4" borderId="17" xfId="0" applyFont="1" applyFill="1" applyBorder="1" applyAlignment="1" applyProtection="1">
      <alignment horizontal="center" vertical="center" wrapText="1"/>
      <protection hidden="1"/>
    </xf>
    <xf numFmtId="0" fontId="17" fillId="0" borderId="2" xfId="0" applyFont="1" applyBorder="1" applyAlignment="1" applyProtection="1">
      <alignment horizontal="center" vertical="top"/>
      <protection hidden="1"/>
    </xf>
    <xf numFmtId="0" fontId="18" fillId="3" borderId="22" xfId="0" applyFont="1" applyFill="1" applyBorder="1" applyAlignment="1" applyProtection="1">
      <alignment horizontal="center" vertical="center" wrapText="1"/>
      <protection hidden="1"/>
    </xf>
    <xf numFmtId="0" fontId="18" fillId="3" borderId="23" xfId="0" applyFont="1" applyFill="1" applyBorder="1" applyAlignment="1" applyProtection="1">
      <alignment horizontal="center" vertical="center" wrapText="1"/>
      <protection hidden="1"/>
    </xf>
    <xf numFmtId="0" fontId="17" fillId="0" borderId="25" xfId="0" applyFont="1" applyBorder="1" applyAlignment="1" applyProtection="1">
      <alignment horizontal="center" vertical="top"/>
      <protection hidden="1"/>
    </xf>
    <xf numFmtId="0" fontId="17" fillId="0" borderId="1" xfId="0" applyFont="1" applyBorder="1" applyAlignment="1" applyProtection="1">
      <alignment horizontal="center" vertical="top"/>
      <protection hidden="1"/>
    </xf>
    <xf numFmtId="0" fontId="17" fillId="0" borderId="12" xfId="0" applyFont="1" applyBorder="1" applyAlignment="1" applyProtection="1">
      <alignment horizontal="center" vertical="top"/>
      <protection hidden="1"/>
    </xf>
    <xf numFmtId="0" fontId="17" fillId="0" borderId="13" xfId="0" applyFont="1" applyBorder="1" applyAlignment="1" applyProtection="1">
      <alignment horizontal="center" vertical="top"/>
      <protection hidden="1"/>
    </xf>
    <xf numFmtId="0" fontId="17" fillId="0" borderId="7" xfId="0" applyFont="1" applyBorder="1" applyAlignment="1" applyProtection="1">
      <alignment horizontal="left" vertical="top" indent="1"/>
      <protection hidden="1"/>
    </xf>
    <xf numFmtId="0" fontId="27" fillId="0" borderId="51" xfId="0" applyFont="1" applyBorder="1" applyAlignment="1" applyProtection="1">
      <alignment horizontal="center" vertical="center"/>
      <protection hidden="1"/>
    </xf>
    <xf numFmtId="0" fontId="27" fillId="0" borderId="7" xfId="0" applyFont="1" applyBorder="1" applyAlignment="1" applyProtection="1">
      <alignment horizontal="left" vertical="top" indent="2"/>
      <protection hidden="1"/>
    </xf>
    <xf numFmtId="0" fontId="27" fillId="0" borderId="5" xfId="0" applyFont="1" applyBorder="1" applyAlignment="1" applyProtection="1">
      <alignment horizontal="left" vertical="top" indent="2"/>
      <protection hidden="1"/>
    </xf>
    <xf numFmtId="0" fontId="17" fillId="0" borderId="3" xfId="0" applyFont="1" applyBorder="1" applyAlignment="1" applyProtection="1">
      <alignment horizontal="center" vertical="top"/>
      <protection hidden="1"/>
    </xf>
    <xf numFmtId="0" fontId="17" fillId="0" borderId="19" xfId="0" applyFont="1" applyBorder="1" applyAlignment="1" applyProtection="1">
      <alignment horizontal="left" vertical="top" indent="1"/>
      <protection hidden="1"/>
    </xf>
    <xf numFmtId="0" fontId="17" fillId="0" borderId="38" xfId="0" applyFont="1" applyBorder="1" applyAlignment="1" applyProtection="1">
      <alignment horizontal="center" vertical="top"/>
      <protection hidden="1"/>
    </xf>
    <xf numFmtId="0" fontId="17" fillId="0" borderId="39" xfId="0" applyFont="1" applyBorder="1" applyAlignment="1" applyProtection="1">
      <alignment horizontal="center" vertical="top"/>
      <protection hidden="1"/>
    </xf>
    <xf numFmtId="0" fontId="17" fillId="0" borderId="43" xfId="0" applyFont="1" applyBorder="1" applyAlignment="1" applyProtection="1">
      <alignment horizontal="center" vertical="top"/>
      <protection hidden="1"/>
    </xf>
    <xf numFmtId="0" fontId="17" fillId="0" borderId="44" xfId="0" applyFont="1" applyBorder="1" applyAlignment="1" applyProtection="1">
      <alignment horizontal="center" vertical="top"/>
      <protection hidden="1"/>
    </xf>
    <xf numFmtId="0" fontId="17" fillId="0" borderId="45" xfId="0" applyFont="1" applyBorder="1" applyAlignment="1" applyProtection="1">
      <alignment horizontal="center" vertical="top"/>
      <protection hidden="1"/>
    </xf>
    <xf numFmtId="0" fontId="17" fillId="0" borderId="46" xfId="0" applyFont="1" applyBorder="1" applyAlignment="1" applyProtection="1">
      <alignment horizontal="center" vertical="top"/>
      <protection hidden="1"/>
    </xf>
    <xf numFmtId="0" fontId="0" fillId="0" borderId="6" xfId="0" applyBorder="1" applyAlignment="1" applyProtection="1">
      <alignment horizontal="left" vertical="center"/>
      <protection hidden="1"/>
    </xf>
    <xf numFmtId="0" fontId="0" fillId="0" borderId="6" xfId="0" applyBorder="1" applyAlignment="1" applyProtection="1">
      <alignment horizontal="center" vertical="center"/>
      <protection hidden="1"/>
    </xf>
    <xf numFmtId="0" fontId="27" fillId="0" borderId="8" xfId="0" applyFont="1" applyBorder="1" applyAlignment="1" applyProtection="1">
      <alignment horizontal="left" vertical="top" indent="2"/>
      <protection locked="0"/>
    </xf>
    <xf numFmtId="0" fontId="27" fillId="0" borderId="10" xfId="0" applyFont="1" applyBorder="1" applyAlignment="1" applyProtection="1">
      <alignment horizontal="left" vertical="top" indent="2"/>
      <protection locked="0"/>
    </xf>
    <xf numFmtId="0" fontId="0" fillId="0" borderId="6" xfId="0" applyBorder="1" applyProtection="1">
      <protection hidden="1"/>
    </xf>
    <xf numFmtId="0" fontId="0" fillId="0" borderId="0" xfId="0" applyProtection="1">
      <protection hidden="1"/>
    </xf>
    <xf numFmtId="0" fontId="0" fillId="0" borderId="0" xfId="0" applyAlignment="1" applyProtection="1">
      <alignment horizontal="center" vertical="center"/>
      <protection hidden="1"/>
    </xf>
    <xf numFmtId="0" fontId="0" fillId="0" borderId="0" xfId="0" applyAlignment="1" applyProtection="1">
      <alignment horizontal="left" vertical="center"/>
      <protection hidden="1"/>
    </xf>
    <xf numFmtId="0" fontId="14" fillId="0" borderId="0" xfId="0" applyFont="1" applyAlignment="1" applyProtection="1">
      <alignment horizontal="center" vertical="center"/>
      <protection hidden="1"/>
    </xf>
    <xf numFmtId="0" fontId="14" fillId="0" borderId="0" xfId="0" applyFont="1" applyAlignment="1" applyProtection="1">
      <alignment horizontal="left" vertical="center"/>
      <protection hidden="1"/>
    </xf>
    <xf numFmtId="0" fontId="14" fillId="0" borderId="0" xfId="0" applyFont="1" applyProtection="1">
      <protection hidden="1"/>
    </xf>
    <xf numFmtId="0" fontId="0" fillId="0" borderId="1" xfId="0" applyBorder="1" applyAlignment="1" applyProtection="1">
      <alignment horizontal="left" vertical="center"/>
      <protection hidden="1"/>
    </xf>
    <xf numFmtId="0" fontId="0" fillId="0" borderId="1" xfId="0" applyBorder="1" applyProtection="1">
      <protection hidden="1"/>
    </xf>
    <xf numFmtId="0" fontId="0" fillId="0" borderId="12" xfId="0" applyBorder="1" applyProtection="1">
      <protection hidden="1"/>
    </xf>
    <xf numFmtId="0" fontId="0" fillId="0" borderId="12" xfId="0" applyBorder="1" applyAlignment="1" applyProtection="1">
      <alignment horizontal="left" vertical="center"/>
      <protection hidden="1"/>
    </xf>
    <xf numFmtId="0" fontId="1" fillId="0" borderId="12" xfId="0" applyFont="1" applyBorder="1" applyAlignment="1" applyProtection="1">
      <alignment horizontal="left" vertical="center"/>
      <protection hidden="1"/>
    </xf>
    <xf numFmtId="0" fontId="20" fillId="3" borderId="0" xfId="0" applyFont="1" applyFill="1" applyProtection="1">
      <protection hidden="1"/>
    </xf>
    <xf numFmtId="0" fontId="24" fillId="4" borderId="53" xfId="0" applyFont="1" applyFill="1" applyBorder="1" applyAlignment="1" applyProtection="1">
      <alignment horizontal="left" vertical="center" wrapText="1" indent="2"/>
      <protection hidden="1"/>
    </xf>
    <xf numFmtId="0" fontId="3" fillId="4" borderId="53" xfId="0" applyFont="1" applyFill="1" applyBorder="1" applyAlignment="1" applyProtection="1">
      <alignment horizontal="left" vertical="center" wrapText="1" indent="2"/>
      <protection hidden="1"/>
    </xf>
    <xf numFmtId="0" fontId="17" fillId="5" borderId="59" xfId="0" applyFont="1" applyFill="1" applyBorder="1" applyAlignment="1" applyProtection="1">
      <alignment horizontal="left" vertical="top" indent="1"/>
      <protection hidden="1"/>
    </xf>
    <xf numFmtId="0" fontId="17" fillId="5" borderId="59" xfId="0" applyFont="1" applyFill="1" applyBorder="1" applyAlignment="1" applyProtection="1">
      <alignment horizontal="center" vertical="center" wrapText="1"/>
      <protection hidden="1"/>
    </xf>
    <xf numFmtId="0" fontId="17" fillId="0" borderId="0" xfId="0" applyFont="1" applyProtection="1">
      <protection hidden="1"/>
    </xf>
    <xf numFmtId="0" fontId="17" fillId="5" borderId="60" xfId="0" applyFont="1" applyFill="1" applyBorder="1" applyAlignment="1" applyProtection="1">
      <alignment horizontal="left" vertical="top" indent="1"/>
      <protection hidden="1"/>
    </xf>
    <xf numFmtId="0" fontId="17" fillId="5" borderId="60" xfId="0" applyFont="1" applyFill="1" applyBorder="1" applyAlignment="1" applyProtection="1">
      <alignment horizontal="center" vertical="center" wrapText="1"/>
      <protection hidden="1"/>
    </xf>
    <xf numFmtId="0" fontId="17" fillId="5" borderId="61" xfId="0" applyFont="1" applyFill="1" applyBorder="1" applyAlignment="1" applyProtection="1">
      <alignment horizontal="left" vertical="top" indent="1"/>
      <protection hidden="1"/>
    </xf>
    <xf numFmtId="0" fontId="17" fillId="5" borderId="61" xfId="0" applyFont="1" applyFill="1" applyBorder="1" applyAlignment="1" applyProtection="1">
      <alignment horizontal="center" vertical="center" wrapText="1"/>
      <protection hidden="1"/>
    </xf>
    <xf numFmtId="0" fontId="17" fillId="0" borderId="55" xfId="0" applyFont="1" applyBorder="1" applyAlignment="1" applyProtection="1">
      <alignment horizontal="left" vertical="top" indent="1"/>
      <protection hidden="1"/>
    </xf>
    <xf numFmtId="0" fontId="17" fillId="0" borderId="0" xfId="0" applyFont="1" applyAlignment="1" applyProtection="1">
      <alignment horizontal="center" vertical="center"/>
      <protection hidden="1"/>
    </xf>
    <xf numFmtId="0" fontId="17" fillId="0" borderId="56" xfId="0" applyFont="1" applyBorder="1" applyAlignment="1" applyProtection="1">
      <alignment horizontal="left" vertical="top" indent="1"/>
      <protection hidden="1"/>
    </xf>
    <xf numFmtId="0" fontId="3" fillId="2" borderId="55" xfId="0" applyFont="1" applyFill="1" applyBorder="1" applyAlignment="1" applyProtection="1">
      <alignment horizontal="left" vertical="center" indent="2"/>
      <protection hidden="1"/>
    </xf>
    <xf numFmtId="0" fontId="3" fillId="2" borderId="56" xfId="0" applyFont="1" applyFill="1" applyBorder="1" applyAlignment="1" applyProtection="1">
      <alignment horizontal="left" vertical="center" indent="2"/>
      <protection hidden="1"/>
    </xf>
    <xf numFmtId="0" fontId="16" fillId="5" borderId="59" xfId="0" applyFont="1" applyFill="1" applyBorder="1" applyAlignment="1" applyProtection="1">
      <alignment horizontal="left" vertical="center" indent="1"/>
      <protection hidden="1"/>
    </xf>
    <xf numFmtId="0" fontId="15" fillId="5" borderId="59" xfId="0" applyFont="1" applyFill="1" applyBorder="1" applyAlignment="1" applyProtection="1">
      <alignment horizontal="right" vertical="center" indent="1"/>
      <protection hidden="1"/>
    </xf>
    <xf numFmtId="0" fontId="16" fillId="5" borderId="60" xfId="0" applyFont="1" applyFill="1" applyBorder="1" applyAlignment="1" applyProtection="1">
      <alignment horizontal="right" vertical="top" indent="1"/>
      <protection hidden="1"/>
    </xf>
    <xf numFmtId="0" fontId="15" fillId="5" borderId="60" xfId="0" applyFont="1" applyFill="1" applyBorder="1" applyAlignment="1" applyProtection="1">
      <alignment horizontal="center" vertical="top" wrapText="1"/>
      <protection hidden="1"/>
    </xf>
    <xf numFmtId="0" fontId="16" fillId="5" borderId="61" xfId="0" applyFont="1" applyFill="1" applyBorder="1" applyAlignment="1" applyProtection="1">
      <alignment horizontal="right" vertical="top" indent="1"/>
      <protection hidden="1"/>
    </xf>
    <xf numFmtId="0" fontId="15" fillId="5" borderId="61" xfId="0" applyFont="1" applyFill="1" applyBorder="1" applyAlignment="1" applyProtection="1">
      <alignment horizontal="center" vertical="top" wrapText="1"/>
      <protection hidden="1"/>
    </xf>
    <xf numFmtId="0" fontId="15" fillId="0" borderId="55" xfId="0" applyFont="1" applyBorder="1" applyAlignment="1" applyProtection="1">
      <alignment horizontal="right" vertical="top" indent="1"/>
      <protection hidden="1"/>
    </xf>
    <xf numFmtId="0" fontId="17" fillId="0" borderId="57" xfId="0" applyFont="1" applyBorder="1" applyAlignment="1" applyProtection="1">
      <alignment horizontal="left" vertical="top" indent="1"/>
      <protection hidden="1"/>
    </xf>
    <xf numFmtId="0" fontId="17" fillId="0" borderId="56" xfId="0" applyFont="1" applyBorder="1" applyAlignment="1" applyProtection="1">
      <alignment horizontal="left" vertical="top" wrapText="1" indent="1"/>
      <protection hidden="1"/>
    </xf>
    <xf numFmtId="0" fontId="3" fillId="2" borderId="54" xfId="0" applyFont="1" applyFill="1" applyBorder="1" applyAlignment="1" applyProtection="1">
      <alignment horizontal="left" vertical="center" indent="2"/>
      <protection hidden="1"/>
    </xf>
    <xf numFmtId="0" fontId="16" fillId="5" borderId="62" xfId="0" applyFont="1" applyFill="1" applyBorder="1" applyAlignment="1" applyProtection="1">
      <alignment horizontal="left" vertical="center" indent="1"/>
      <protection hidden="1"/>
    </xf>
    <xf numFmtId="0" fontId="15" fillId="5" borderId="62" xfId="0" applyFont="1" applyFill="1" applyBorder="1" applyAlignment="1" applyProtection="1">
      <alignment horizontal="right" vertical="center" indent="1"/>
      <protection hidden="1"/>
    </xf>
    <xf numFmtId="164" fontId="15" fillId="5" borderId="60" xfId="0" applyNumberFormat="1" applyFont="1" applyFill="1" applyBorder="1" applyAlignment="1" applyProtection="1">
      <alignment horizontal="center" vertical="top" wrapText="1"/>
      <protection hidden="1"/>
    </xf>
    <xf numFmtId="0" fontId="15" fillId="0" borderId="58" xfId="0" applyFont="1" applyBorder="1" applyAlignment="1" applyProtection="1">
      <alignment horizontal="right" vertical="top" indent="1"/>
      <protection hidden="1"/>
    </xf>
    <xf numFmtId="0" fontId="29" fillId="0" borderId="1" xfId="0" applyFont="1" applyBorder="1" applyProtection="1">
      <protection hidden="1"/>
    </xf>
    <xf numFmtId="0" fontId="29" fillId="0" borderId="14" xfId="0" applyFont="1" applyBorder="1" applyProtection="1">
      <protection hidden="1"/>
    </xf>
    <xf numFmtId="0" fontId="31" fillId="0" borderId="12" xfId="0" applyFont="1" applyBorder="1" applyProtection="1">
      <protection hidden="1"/>
    </xf>
    <xf numFmtId="0" fontId="29" fillId="0" borderId="12" xfId="0" applyFont="1" applyBorder="1" applyProtection="1">
      <protection hidden="1"/>
    </xf>
    <xf numFmtId="0" fontId="31" fillId="0" borderId="1" xfId="0" applyFont="1" applyBorder="1" applyProtection="1">
      <protection hidden="1"/>
    </xf>
    <xf numFmtId="0" fontId="31" fillId="0" borderId="0" xfId="0" applyFont="1" applyProtection="1">
      <protection hidden="1"/>
    </xf>
    <xf numFmtId="0" fontId="33" fillId="0" borderId="1" xfId="0" applyFont="1" applyBorder="1" applyAlignment="1" applyProtection="1">
      <alignment horizontal="center" vertical="center" wrapText="1"/>
      <protection hidden="1"/>
    </xf>
    <xf numFmtId="0" fontId="31" fillId="0" borderId="0" xfId="0" applyFont="1" applyAlignment="1" applyProtection="1">
      <alignment horizontal="center" vertical="center"/>
      <protection hidden="1"/>
    </xf>
    <xf numFmtId="0" fontId="31" fillId="0" borderId="1" xfId="0" applyFont="1" applyBorder="1" applyAlignment="1" applyProtection="1">
      <alignment horizontal="center" vertical="center"/>
      <protection hidden="1"/>
    </xf>
    <xf numFmtId="0" fontId="29" fillId="0" borderId="0" xfId="0" applyFont="1" applyProtection="1">
      <protection hidden="1"/>
    </xf>
    <xf numFmtId="0" fontId="30" fillId="6" borderId="64" xfId="0" applyFont="1" applyFill="1" applyBorder="1" applyAlignment="1" applyProtection="1">
      <alignment horizontal="center" vertical="center" wrapText="1"/>
      <protection hidden="1"/>
    </xf>
    <xf numFmtId="0" fontId="30" fillId="6" borderId="64" xfId="0" applyFont="1" applyFill="1" applyBorder="1" applyAlignment="1" applyProtection="1">
      <alignment vertical="center" wrapText="1"/>
      <protection hidden="1"/>
    </xf>
    <xf numFmtId="0" fontId="30" fillId="6" borderId="65" xfId="0" applyFont="1" applyFill="1" applyBorder="1" applyAlignment="1" applyProtection="1">
      <alignment horizontal="center" vertical="center" wrapText="1"/>
      <protection hidden="1"/>
    </xf>
    <xf numFmtId="0" fontId="30" fillId="6" borderId="63" xfId="0" applyFont="1" applyFill="1" applyBorder="1" applyAlignment="1" applyProtection="1">
      <alignment horizontal="center" vertical="center" wrapText="1"/>
      <protection hidden="1"/>
    </xf>
    <xf numFmtId="164" fontId="30" fillId="6" borderId="66" xfId="0" applyNumberFormat="1" applyFont="1" applyFill="1" applyBorder="1" applyAlignment="1" applyProtection="1">
      <alignment horizontal="center" vertical="center" wrapText="1"/>
      <protection hidden="1"/>
    </xf>
    <xf numFmtId="0" fontId="32" fillId="0" borderId="67" xfId="0" applyFont="1" applyBorder="1" applyAlignment="1" applyProtection="1">
      <alignment horizontal="center" vertical="center" wrapText="1"/>
      <protection hidden="1"/>
    </xf>
    <xf numFmtId="0" fontId="32" fillId="0" borderId="68" xfId="0" applyFont="1" applyBorder="1" applyAlignment="1" applyProtection="1">
      <alignment horizontal="center" vertical="center" wrapText="1"/>
      <protection hidden="1"/>
    </xf>
    <xf numFmtId="0" fontId="29" fillId="0" borderId="1" xfId="0" applyFont="1" applyBorder="1" applyAlignment="1" applyProtection="1">
      <alignment horizontal="center" vertical="center"/>
      <protection hidden="1"/>
    </xf>
    <xf numFmtId="0" fontId="29" fillId="0" borderId="0" xfId="0" applyFont="1" applyAlignment="1" applyProtection="1">
      <alignment horizontal="center" vertical="center"/>
      <protection hidden="1"/>
    </xf>
    <xf numFmtId="164" fontId="30" fillId="6" borderId="69" xfId="0" applyNumberFormat="1" applyFont="1" applyFill="1" applyBorder="1" applyAlignment="1" applyProtection="1">
      <alignment horizontal="center" vertical="center" wrapText="1"/>
      <protection hidden="1"/>
    </xf>
    <xf numFmtId="0" fontId="32" fillId="0" borderId="70" xfId="0" applyFont="1" applyBorder="1" applyAlignment="1" applyProtection="1">
      <alignment horizontal="center" vertical="center" wrapText="1"/>
      <protection hidden="1"/>
    </xf>
    <xf numFmtId="0" fontId="32" fillId="0" borderId="71" xfId="0" applyFont="1" applyBorder="1" applyAlignment="1" applyProtection="1">
      <alignment horizontal="center" vertical="center" wrapText="1"/>
      <protection hidden="1"/>
    </xf>
    <xf numFmtId="0" fontId="29" fillId="0" borderId="104" xfId="0" applyFont="1" applyBorder="1" applyProtection="1">
      <protection hidden="1"/>
    </xf>
    <xf numFmtId="0" fontId="29" fillId="0" borderId="3" xfId="0" applyFont="1" applyBorder="1" applyProtection="1">
      <protection hidden="1"/>
    </xf>
    <xf numFmtId="0" fontId="37" fillId="6" borderId="34" xfId="0" applyFont="1" applyFill="1" applyBorder="1" applyAlignment="1" applyProtection="1">
      <alignment horizontal="center" textRotation="90" wrapText="1"/>
      <protection hidden="1"/>
    </xf>
    <xf numFmtId="0" fontId="37" fillId="6" borderId="95" xfId="0" applyFont="1" applyFill="1" applyBorder="1" applyAlignment="1" applyProtection="1">
      <alignment horizontal="center" textRotation="90" wrapText="1"/>
      <protection hidden="1"/>
    </xf>
    <xf numFmtId="0" fontId="37" fillId="6" borderId="97" xfId="0" applyFont="1" applyFill="1" applyBorder="1" applyAlignment="1" applyProtection="1">
      <alignment horizontal="center" textRotation="90" wrapText="1"/>
      <protection hidden="1"/>
    </xf>
    <xf numFmtId="0" fontId="38" fillId="6" borderId="96" xfId="0" applyFont="1" applyFill="1" applyBorder="1" applyAlignment="1" applyProtection="1">
      <alignment horizontal="center" textRotation="90" wrapText="1"/>
      <protection hidden="1"/>
    </xf>
    <xf numFmtId="0" fontId="38" fillId="6" borderId="97" xfId="0" applyFont="1" applyFill="1" applyBorder="1" applyAlignment="1" applyProtection="1">
      <alignment horizontal="center" textRotation="90" wrapText="1"/>
      <protection hidden="1"/>
    </xf>
    <xf numFmtId="0" fontId="39" fillId="0" borderId="91" xfId="0" applyFont="1" applyBorder="1" applyAlignment="1" applyProtection="1">
      <alignment horizontal="center" vertical="center"/>
      <protection hidden="1"/>
    </xf>
    <xf numFmtId="0" fontId="39" fillId="0" borderId="92" xfId="0" applyFont="1" applyBorder="1" applyAlignment="1" applyProtection="1">
      <alignment horizontal="center" vertical="center"/>
      <protection hidden="1"/>
    </xf>
    <xf numFmtId="0" fontId="39" fillId="0" borderId="93" xfId="0" applyFont="1" applyBorder="1" applyAlignment="1" applyProtection="1">
      <alignment horizontal="center" vertical="center"/>
      <protection hidden="1"/>
    </xf>
    <xf numFmtId="0" fontId="39" fillId="0" borderId="94" xfId="0" applyFont="1" applyBorder="1" applyAlignment="1" applyProtection="1">
      <alignment horizontal="center" vertical="center"/>
      <protection hidden="1"/>
    </xf>
    <xf numFmtId="0" fontId="39" fillId="0" borderId="98" xfId="0" applyFont="1" applyBorder="1" applyAlignment="1" applyProtection="1">
      <alignment horizontal="center" vertical="center"/>
      <protection hidden="1"/>
    </xf>
    <xf numFmtId="0" fontId="39" fillId="0" borderId="89" xfId="0" applyFont="1" applyBorder="1" applyAlignment="1" applyProtection="1">
      <alignment horizontal="center" vertical="center"/>
      <protection hidden="1"/>
    </xf>
    <xf numFmtId="9" fontId="34" fillId="0" borderId="1" xfId="1" applyFont="1" applyBorder="1" applyProtection="1">
      <protection hidden="1"/>
    </xf>
    <xf numFmtId="0" fontId="40" fillId="0" borderId="91" xfId="0" applyFont="1" applyBorder="1" applyAlignment="1" applyProtection="1">
      <alignment horizontal="center" vertical="center"/>
      <protection hidden="1"/>
    </xf>
    <xf numFmtId="0" fontId="40" fillId="0" borderId="92" xfId="0" applyFont="1" applyBorder="1" applyAlignment="1" applyProtection="1">
      <alignment horizontal="center" vertical="center"/>
      <protection hidden="1"/>
    </xf>
    <xf numFmtId="0" fontId="40" fillId="0" borderId="93" xfId="0" applyFont="1" applyBorder="1" applyAlignment="1" applyProtection="1">
      <alignment horizontal="center" vertical="center"/>
      <protection hidden="1"/>
    </xf>
    <xf numFmtId="0" fontId="40" fillId="0" borderId="94" xfId="0" applyFont="1" applyBorder="1" applyAlignment="1" applyProtection="1">
      <alignment horizontal="center" vertical="center"/>
      <protection hidden="1"/>
    </xf>
    <xf numFmtId="0" fontId="40" fillId="0" borderId="98" xfId="0" applyFont="1" applyBorder="1" applyAlignment="1" applyProtection="1">
      <alignment horizontal="center" vertical="center"/>
      <protection hidden="1"/>
    </xf>
    <xf numFmtId="0" fontId="40" fillId="0" borderId="89" xfId="0" applyFont="1" applyBorder="1" applyAlignment="1" applyProtection="1">
      <alignment horizontal="center" vertical="center"/>
      <protection hidden="1"/>
    </xf>
    <xf numFmtId="0" fontId="34" fillId="0" borderId="1" xfId="0" applyFont="1" applyBorder="1" applyProtection="1">
      <protection hidden="1"/>
    </xf>
    <xf numFmtId="0" fontId="41" fillId="0" borderId="1" xfId="0" applyFont="1" applyBorder="1" applyProtection="1">
      <protection hidden="1"/>
    </xf>
    <xf numFmtId="0" fontId="17" fillId="0" borderId="18" xfId="0" applyFont="1" applyBorder="1" applyAlignment="1" applyProtection="1">
      <alignment horizontal="left" vertical="top" indent="1"/>
      <protection hidden="1"/>
    </xf>
    <xf numFmtId="0" fontId="14" fillId="2" borderId="23" xfId="0" applyFont="1" applyFill="1" applyBorder="1" applyAlignment="1" applyProtection="1">
      <alignment horizontal="center" vertical="center" wrapText="1"/>
      <protection hidden="1"/>
    </xf>
    <xf numFmtId="0" fontId="30" fillId="6" borderId="0" xfId="0" applyFont="1" applyFill="1" applyAlignment="1" applyProtection="1">
      <alignment horizontal="center" vertical="top" wrapText="1"/>
      <protection hidden="1"/>
    </xf>
    <xf numFmtId="0" fontId="31" fillId="0" borderId="106" xfId="0" applyFont="1" applyBorder="1" applyAlignment="1" applyProtection="1">
      <alignment horizontal="center" vertical="center"/>
      <protection hidden="1"/>
    </xf>
    <xf numFmtId="0" fontId="31" fillId="0" borderId="107" xfId="0" applyFont="1" applyBorder="1" applyAlignment="1" applyProtection="1">
      <alignment horizontal="center" vertical="center"/>
      <protection hidden="1"/>
    </xf>
    <xf numFmtId="0" fontId="31" fillId="0" borderId="108" xfId="0" applyFont="1" applyBorder="1" applyAlignment="1" applyProtection="1">
      <alignment horizontal="center" vertical="center"/>
      <protection hidden="1"/>
    </xf>
    <xf numFmtId="0" fontId="31" fillId="0" borderId="105" xfId="0" applyFont="1" applyBorder="1" applyAlignment="1" applyProtection="1">
      <alignment horizontal="center" vertical="center"/>
      <protection hidden="1"/>
    </xf>
    <xf numFmtId="0" fontId="43" fillId="0" borderId="0" xfId="0" applyFont="1" applyAlignment="1" applyProtection="1">
      <alignment horizontal="center" vertical="center"/>
      <protection hidden="1"/>
    </xf>
    <xf numFmtId="0" fontId="17" fillId="4" borderId="82" xfId="0" applyFont="1" applyFill="1" applyBorder="1" applyAlignment="1" applyProtection="1">
      <alignment horizontal="center" vertical="top" wrapText="1"/>
      <protection locked="0"/>
    </xf>
    <xf numFmtId="0" fontId="17" fillId="4" borderId="85" xfId="0" applyFont="1" applyFill="1" applyBorder="1" applyAlignment="1" applyProtection="1">
      <alignment horizontal="center" vertical="top" wrapText="1"/>
      <protection locked="0"/>
    </xf>
    <xf numFmtId="0" fontId="17" fillId="4" borderId="88" xfId="0" applyFont="1" applyFill="1" applyBorder="1" applyAlignment="1" applyProtection="1">
      <alignment horizontal="center" vertical="top" wrapText="1"/>
      <protection locked="0"/>
    </xf>
    <xf numFmtId="0" fontId="0" fillId="0" borderId="0" xfId="0" applyAlignment="1">
      <alignment vertical="center"/>
    </xf>
    <xf numFmtId="0" fontId="3" fillId="7" borderId="0" xfId="0" applyFont="1" applyFill="1"/>
    <xf numFmtId="0" fontId="0" fillId="0" borderId="116" xfId="0" applyBorder="1" applyAlignment="1">
      <alignment horizontal="left" vertical="center"/>
    </xf>
    <xf numFmtId="0" fontId="1" fillId="4" borderId="117" xfId="0" applyFont="1" applyFill="1" applyBorder="1" applyAlignment="1">
      <alignment horizontal="left" vertical="top" wrapText="1"/>
    </xf>
    <xf numFmtId="0" fontId="45" fillId="0" borderId="0" xfId="0" applyFont="1" applyAlignment="1">
      <alignment vertical="center"/>
    </xf>
    <xf numFmtId="0" fontId="0" fillId="0" borderId="116" xfId="0" applyBorder="1" applyAlignment="1" applyProtection="1">
      <alignment horizontal="left" vertical="center"/>
      <protection locked="0"/>
    </xf>
    <xf numFmtId="0" fontId="0" fillId="0" borderId="0" xfId="0" applyAlignment="1" applyProtection="1">
      <alignment horizontal="left" vertical="center"/>
      <protection locked="0"/>
    </xf>
    <xf numFmtId="0" fontId="17" fillId="4" borderId="17" xfId="0" quotePrefix="1" applyFont="1" applyFill="1" applyBorder="1" applyAlignment="1" applyProtection="1">
      <alignment horizontal="center" vertical="top" wrapText="1"/>
      <protection locked="0"/>
    </xf>
    <xf numFmtId="0" fontId="17" fillId="0" borderId="34" xfId="0" applyFont="1" applyBorder="1" applyAlignment="1" applyProtection="1">
      <alignment horizontal="left" vertical="center"/>
      <protection locked="0"/>
    </xf>
    <xf numFmtId="0" fontId="17" fillId="0" borderId="34" xfId="0" applyFont="1" applyBorder="1" applyAlignment="1" applyProtection="1">
      <alignment horizontal="left" vertical="center"/>
      <protection hidden="1"/>
    </xf>
    <xf numFmtId="0" fontId="17" fillId="5" borderId="60" xfId="0" applyFont="1" applyFill="1" applyBorder="1" applyAlignment="1" applyProtection="1">
      <alignment horizontal="left" vertical="center"/>
      <protection hidden="1"/>
    </xf>
    <xf numFmtId="0" fontId="36" fillId="0" borderId="90" xfId="0" applyFont="1" applyBorder="1" applyAlignment="1" applyProtection="1">
      <alignment horizontal="left" vertical="center"/>
      <protection hidden="1"/>
    </xf>
    <xf numFmtId="0" fontId="34" fillId="0" borderId="90" xfId="0" applyFont="1" applyBorder="1" applyAlignment="1" applyProtection="1">
      <alignment horizontal="left" vertical="center"/>
      <protection hidden="1"/>
    </xf>
    <xf numFmtId="0" fontId="17" fillId="0" borderId="50" xfId="0" applyFont="1" applyBorder="1" applyAlignment="1" applyProtection="1">
      <alignment horizontal="center" vertical="top" wrapText="1"/>
      <protection locked="0"/>
    </xf>
    <xf numFmtId="0" fontId="17" fillId="0" borderId="0" xfId="0" applyFont="1" applyAlignment="1" applyProtection="1">
      <alignment horizontal="center" vertical="top" wrapText="1"/>
      <protection locked="0"/>
    </xf>
    <xf numFmtId="0" fontId="17" fillId="4" borderId="24" xfId="0" applyFont="1" applyFill="1" applyBorder="1" applyAlignment="1" applyProtection="1">
      <alignment horizontal="center" vertical="top" wrapText="1"/>
      <protection locked="0"/>
    </xf>
    <xf numFmtId="0" fontId="7" fillId="0" borderId="12" xfId="0" applyFont="1" applyBorder="1"/>
    <xf numFmtId="0" fontId="7" fillId="0" borderId="14" xfId="0" applyFont="1" applyBorder="1"/>
    <xf numFmtId="0" fontId="0" fillId="0" borderId="15" xfId="0" applyBorder="1"/>
    <xf numFmtId="0" fontId="13" fillId="0" borderId="14" xfId="0" applyFont="1" applyBorder="1"/>
    <xf numFmtId="0" fontId="0" fillId="0" borderId="14" xfId="0" applyBorder="1"/>
    <xf numFmtId="0" fontId="0" fillId="0" borderId="14" xfId="0" quotePrefix="1" applyBorder="1" applyAlignment="1">
      <alignment horizontal="left" indent="2"/>
    </xf>
    <xf numFmtId="0" fontId="7" fillId="0" borderId="3" xfId="0" applyFont="1" applyBorder="1"/>
    <xf numFmtId="0" fontId="1" fillId="0" borderId="14" xfId="0" applyFont="1" applyBorder="1"/>
    <xf numFmtId="0" fontId="1" fillId="0" borderId="15" xfId="0" applyFont="1" applyBorder="1"/>
    <xf numFmtId="0" fontId="25" fillId="0" borderId="15" xfId="2" applyBorder="1"/>
    <xf numFmtId="0" fontId="0" fillId="0" borderId="92" xfId="0" applyBorder="1"/>
    <xf numFmtId="0" fontId="7" fillId="0" borderId="92" xfId="0" applyFont="1" applyBorder="1"/>
    <xf numFmtId="0" fontId="12" fillId="0" borderId="14" xfId="0" applyFont="1" applyBorder="1"/>
    <xf numFmtId="0" fontId="17" fillId="3" borderId="13" xfId="0" applyFont="1" applyFill="1" applyBorder="1" applyAlignment="1" applyProtection="1">
      <alignment horizontal="center" vertical="top"/>
      <protection hidden="1"/>
    </xf>
    <xf numFmtId="0" fontId="31" fillId="0" borderId="106" xfId="0" applyFont="1" applyBorder="1" applyAlignment="1" applyProtection="1">
      <alignment horizontal="left" vertical="center" indent="1"/>
      <protection hidden="1"/>
    </xf>
    <xf numFmtId="0" fontId="31" fillId="0" borderId="105" xfId="0" applyFont="1" applyBorder="1" applyAlignment="1" applyProtection="1">
      <alignment horizontal="left" vertical="center" indent="1"/>
      <protection hidden="1"/>
    </xf>
    <xf numFmtId="0" fontId="42" fillId="0" borderId="14" xfId="0" applyFont="1" applyBorder="1" applyAlignment="1">
      <alignment horizontal="center" vertical="center"/>
    </xf>
    <xf numFmtId="0" fontId="42" fillId="0" borderId="15" xfId="0" applyFont="1" applyBorder="1" applyAlignment="1">
      <alignment horizontal="center" vertical="center"/>
    </xf>
    <xf numFmtId="0" fontId="42" fillId="0" borderId="16"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47" fillId="4" borderId="118" xfId="0" applyFont="1" applyFill="1" applyBorder="1" applyAlignment="1">
      <alignment horizontal="left" vertical="center"/>
    </xf>
    <xf numFmtId="0" fontId="47" fillId="4" borderId="119" xfId="0" applyFont="1" applyFill="1" applyBorder="1" applyAlignment="1">
      <alignment horizontal="left" vertical="center"/>
    </xf>
    <xf numFmtId="0" fontId="47" fillId="4" borderId="120" xfId="0" applyFont="1" applyFill="1" applyBorder="1" applyAlignment="1">
      <alignment horizontal="left" vertical="center"/>
    </xf>
    <xf numFmtId="0" fontId="0" fillId="0" borderId="118" xfId="0" applyBorder="1" applyAlignment="1">
      <alignment horizontal="center" wrapText="1"/>
    </xf>
    <xf numFmtId="0" fontId="0" fillId="0" borderId="119" xfId="0" applyBorder="1" applyAlignment="1">
      <alignment horizontal="center" wrapText="1"/>
    </xf>
    <xf numFmtId="0" fontId="0" fillId="0" borderId="122" xfId="0" applyBorder="1" applyAlignment="1">
      <alignment horizontal="center" wrapText="1"/>
    </xf>
    <xf numFmtId="0" fontId="0" fillId="0" borderId="0" xfId="0" applyAlignment="1">
      <alignment horizontal="center" wrapText="1"/>
    </xf>
    <xf numFmtId="0" fontId="0" fillId="0" borderId="125" xfId="0" applyBorder="1" applyAlignment="1">
      <alignment horizontal="center" wrapText="1"/>
    </xf>
    <xf numFmtId="0" fontId="0" fillId="0" borderId="126" xfId="0" applyBorder="1" applyAlignment="1">
      <alignment horizontal="center" wrapText="1"/>
    </xf>
    <xf numFmtId="0" fontId="0" fillId="0" borderId="121" xfId="0" applyBorder="1" applyAlignment="1">
      <alignment horizontal="center"/>
    </xf>
    <xf numFmtId="0" fontId="0" fillId="0" borderId="120" xfId="0" applyBorder="1" applyAlignment="1">
      <alignment horizontal="center"/>
    </xf>
    <xf numFmtId="0" fontId="0" fillId="0" borderId="124" xfId="0" applyBorder="1" applyAlignment="1">
      <alignment horizontal="center"/>
    </xf>
    <xf numFmtId="0" fontId="0" fillId="0" borderId="123" xfId="0" applyBorder="1" applyAlignment="1">
      <alignment horizontal="center"/>
    </xf>
    <xf numFmtId="0" fontId="0" fillId="0" borderId="127" xfId="0" applyBorder="1" applyAlignment="1">
      <alignment horizontal="center"/>
    </xf>
    <xf numFmtId="0" fontId="0" fillId="0" borderId="128" xfId="0" applyBorder="1" applyAlignment="1">
      <alignment horizontal="center"/>
    </xf>
    <xf numFmtId="0" fontId="0" fillId="4" borderId="122" xfId="0" applyFill="1" applyBorder="1" applyAlignment="1">
      <alignment horizontal="left" vertical="center" wrapText="1"/>
    </xf>
    <xf numFmtId="0" fontId="0" fillId="4" borderId="0" xfId="0" applyFill="1" applyAlignment="1">
      <alignment horizontal="left" vertical="center" wrapText="1"/>
    </xf>
    <xf numFmtId="0" fontId="0" fillId="4" borderId="123" xfId="0" applyFill="1" applyBorder="1" applyAlignment="1">
      <alignment horizontal="left" vertical="center" wrapText="1"/>
    </xf>
    <xf numFmtId="0" fontId="0" fillId="4" borderId="129" xfId="0" applyFill="1" applyBorder="1" applyAlignment="1">
      <alignment horizontal="left" vertical="center" wrapText="1"/>
    </xf>
    <xf numFmtId="0" fontId="0" fillId="4" borderId="46" xfId="0" applyFill="1" applyBorder="1" applyAlignment="1">
      <alignment horizontal="left" vertical="center" wrapText="1"/>
    </xf>
    <xf numFmtId="0" fontId="0" fillId="4" borderId="130" xfId="0" applyFill="1" applyBorder="1" applyAlignment="1">
      <alignment horizontal="left" vertical="center" wrapText="1"/>
    </xf>
    <xf numFmtId="0" fontId="0" fillId="0" borderId="122" xfId="0" applyBorder="1" applyAlignment="1">
      <alignment horizontal="right" wrapText="1" indent="1"/>
    </xf>
    <xf numFmtId="0" fontId="0" fillId="0" borderId="0" xfId="0" applyAlignment="1">
      <alignment horizontal="right" wrapText="1" indent="1"/>
    </xf>
    <xf numFmtId="0" fontId="0" fillId="0" borderId="123" xfId="0" applyBorder="1" applyAlignment="1">
      <alignment horizontal="right" wrapText="1" indent="1"/>
    </xf>
    <xf numFmtId="0" fontId="0" fillId="0" borderId="129" xfId="0" applyBorder="1" applyAlignment="1">
      <alignment horizontal="right" wrapText="1" indent="1"/>
    </xf>
    <xf numFmtId="0" fontId="0" fillId="0" borderId="46" xfId="0" applyBorder="1" applyAlignment="1">
      <alignment horizontal="right" wrapText="1" indent="1"/>
    </xf>
    <xf numFmtId="0" fontId="0" fillId="0" borderId="130" xfId="0" applyBorder="1" applyAlignment="1">
      <alignment horizontal="right" wrapText="1" indent="1"/>
    </xf>
    <xf numFmtId="0" fontId="0" fillId="4" borderId="122" xfId="0" quotePrefix="1" applyFill="1" applyBorder="1" applyAlignment="1">
      <alignment horizontal="left" vertical="top" wrapText="1"/>
    </xf>
    <xf numFmtId="0" fontId="0" fillId="4" borderId="0" xfId="0" quotePrefix="1" applyFill="1" applyAlignment="1">
      <alignment horizontal="left" vertical="top" wrapText="1"/>
    </xf>
    <xf numFmtId="0" fontId="0" fillId="4" borderId="123" xfId="0" quotePrefix="1" applyFill="1" applyBorder="1" applyAlignment="1">
      <alignment horizontal="left" vertical="top" wrapText="1"/>
    </xf>
    <xf numFmtId="0" fontId="0" fillId="4" borderId="129" xfId="0" quotePrefix="1" applyFill="1" applyBorder="1" applyAlignment="1">
      <alignment horizontal="left" vertical="top" wrapText="1"/>
    </xf>
    <xf numFmtId="0" fontId="0" fillId="4" borderId="46" xfId="0" quotePrefix="1" applyFill="1" applyBorder="1" applyAlignment="1">
      <alignment horizontal="left" vertical="top" wrapText="1"/>
    </xf>
    <xf numFmtId="0" fontId="0" fillId="4" borderId="130" xfId="0" quotePrefix="1" applyFill="1" applyBorder="1" applyAlignment="1">
      <alignment horizontal="left" vertical="top" wrapText="1"/>
    </xf>
    <xf numFmtId="0" fontId="47" fillId="6" borderId="118" xfId="0" applyFont="1" applyFill="1" applyBorder="1" applyAlignment="1">
      <alignment horizontal="left" vertical="center"/>
    </xf>
    <xf numFmtId="0" fontId="47" fillId="6" borderId="119" xfId="0" applyFont="1" applyFill="1" applyBorder="1" applyAlignment="1">
      <alignment horizontal="left" vertical="center"/>
    </xf>
    <xf numFmtId="0" fontId="47" fillId="6" borderId="120" xfId="0" applyFont="1" applyFill="1" applyBorder="1" applyAlignment="1">
      <alignment horizontal="left" vertical="center"/>
    </xf>
    <xf numFmtId="0" fontId="0" fillId="6" borderId="122" xfId="0" applyFill="1" applyBorder="1" applyAlignment="1">
      <alignment horizontal="left" wrapText="1"/>
    </xf>
    <xf numFmtId="0" fontId="0" fillId="6" borderId="0" xfId="0" applyFill="1" applyAlignment="1">
      <alignment horizontal="left"/>
    </xf>
    <xf numFmtId="0" fontId="0" fillId="6" borderId="123" xfId="0" applyFill="1" applyBorder="1" applyAlignment="1">
      <alignment horizontal="left"/>
    </xf>
    <xf numFmtId="0" fontId="0" fillId="6" borderId="122" xfId="0" applyFill="1" applyBorder="1" applyAlignment="1">
      <alignment horizontal="left"/>
    </xf>
    <xf numFmtId="0" fontId="0" fillId="6" borderId="122" xfId="0" applyFill="1" applyBorder="1" applyAlignment="1">
      <alignment horizontal="center"/>
    </xf>
    <xf numFmtId="0" fontId="0" fillId="6" borderId="0" xfId="0" applyFill="1" applyAlignment="1">
      <alignment horizontal="center"/>
    </xf>
    <xf numFmtId="0" fontId="0" fillId="6" borderId="123" xfId="0" applyFill="1" applyBorder="1" applyAlignment="1">
      <alignment horizontal="center"/>
    </xf>
    <xf numFmtId="0" fontId="0" fillId="6" borderId="122" xfId="0" applyFill="1" applyBorder="1" applyAlignment="1">
      <alignment horizontal="left" vertical="top" wrapText="1"/>
    </xf>
    <xf numFmtId="0" fontId="0" fillId="6" borderId="0" xfId="0" applyFill="1" applyAlignment="1">
      <alignment horizontal="left" vertical="top" wrapText="1"/>
    </xf>
    <xf numFmtId="0" fontId="0" fillId="6" borderId="123" xfId="0" applyFill="1" applyBorder="1" applyAlignment="1">
      <alignment horizontal="left" vertical="top" wrapText="1"/>
    </xf>
    <xf numFmtId="0" fontId="0" fillId="6" borderId="122" xfId="0" applyFill="1" applyBorder="1" applyAlignment="1">
      <alignment horizontal="center" vertical="top"/>
    </xf>
    <xf numFmtId="0" fontId="0" fillId="6" borderId="0" xfId="0" applyFill="1" applyAlignment="1">
      <alignment horizontal="center" vertical="top"/>
    </xf>
    <xf numFmtId="0" fontId="0" fillId="6" borderId="123" xfId="0" applyFill="1" applyBorder="1" applyAlignment="1">
      <alignment horizontal="center" vertical="top"/>
    </xf>
    <xf numFmtId="0" fontId="0" fillId="6" borderId="0" xfId="0" applyFill="1" applyAlignment="1">
      <alignment horizontal="left" wrapText="1"/>
    </xf>
    <xf numFmtId="0" fontId="0" fillId="6" borderId="123" xfId="0" applyFill="1" applyBorder="1" applyAlignment="1">
      <alignment horizontal="left" wrapText="1"/>
    </xf>
    <xf numFmtId="0" fontId="7" fillId="6" borderId="122" xfId="0" applyFont="1" applyFill="1" applyBorder="1" applyAlignment="1">
      <alignment horizontal="center"/>
    </xf>
    <xf numFmtId="0" fontId="7" fillId="6" borderId="0" xfId="0" applyFont="1" applyFill="1" applyAlignment="1">
      <alignment horizontal="center"/>
    </xf>
    <xf numFmtId="0" fontId="7" fillId="6" borderId="123" xfId="0" applyFont="1" applyFill="1" applyBorder="1" applyAlignment="1">
      <alignment horizontal="center"/>
    </xf>
    <xf numFmtId="0" fontId="0" fillId="6" borderId="129" xfId="0" applyFill="1" applyBorder="1" applyAlignment="1">
      <alignment horizontal="center"/>
    </xf>
    <xf numFmtId="0" fontId="0" fillId="6" borderId="46" xfId="0" applyFill="1" applyBorder="1" applyAlignment="1">
      <alignment horizontal="center"/>
    </xf>
    <xf numFmtId="0" fontId="0" fillId="6" borderId="130" xfId="0" applyFill="1" applyBorder="1" applyAlignment="1">
      <alignment horizontal="center"/>
    </xf>
    <xf numFmtId="0" fontId="1" fillId="0" borderId="0" xfId="0" applyFont="1" applyAlignment="1">
      <alignment horizontal="left"/>
    </xf>
    <xf numFmtId="0" fontId="17" fillId="0" borderId="0" xfId="0" applyFont="1" applyAlignment="1" applyProtection="1">
      <alignment horizontal="center" vertical="top" wrapText="1"/>
      <protection locked="0"/>
    </xf>
    <xf numFmtId="0" fontId="17" fillId="0" borderId="11" xfId="0" applyFont="1" applyBorder="1" applyAlignment="1" applyProtection="1">
      <alignment horizontal="left" vertical="top" indent="3"/>
      <protection hidden="1"/>
    </xf>
    <xf numFmtId="0" fontId="17" fillId="0" borderId="7" xfId="0" applyFont="1" applyBorder="1" applyAlignment="1" applyProtection="1">
      <alignment horizontal="left" vertical="top" indent="3"/>
      <protection hidden="1"/>
    </xf>
    <xf numFmtId="0" fontId="17" fillId="0" borderId="51" xfId="0" applyFont="1" applyBorder="1" applyAlignment="1" applyProtection="1">
      <alignment horizontal="center" vertical="top" wrapText="1"/>
      <protection locked="0"/>
    </xf>
    <xf numFmtId="0" fontId="17" fillId="0" borderId="47" xfId="0" applyFont="1" applyBorder="1" applyAlignment="1" applyProtection="1">
      <alignment horizontal="center" vertical="top" wrapText="1"/>
      <protection locked="0"/>
    </xf>
    <xf numFmtId="0" fontId="17" fillId="0" borderId="44" xfId="0" applyFont="1" applyBorder="1" applyAlignment="1" applyProtection="1">
      <alignment horizontal="center" vertical="top" wrapText="1"/>
      <protection locked="0"/>
    </xf>
    <xf numFmtId="0" fontId="17" fillId="0" borderId="48" xfId="0" applyFont="1" applyBorder="1" applyAlignment="1" applyProtection="1">
      <alignment horizontal="center" vertical="top" wrapText="1"/>
      <protection locked="0"/>
    </xf>
    <xf numFmtId="0" fontId="17" fillId="0" borderId="46" xfId="0" applyFont="1" applyBorder="1" applyAlignment="1" applyProtection="1">
      <alignment horizontal="left" vertical="top" indent="1"/>
      <protection hidden="1"/>
    </xf>
    <xf numFmtId="0" fontId="17" fillId="0" borderId="26" xfId="0" applyFont="1" applyBorder="1" applyAlignment="1" applyProtection="1">
      <alignment horizontal="left" vertical="top" indent="1"/>
      <protection hidden="1"/>
    </xf>
    <xf numFmtId="0" fontId="17" fillId="0" borderId="44" xfId="0" applyFont="1" applyBorder="1" applyAlignment="1" applyProtection="1">
      <alignment horizontal="left" vertical="top" indent="1"/>
      <protection hidden="1"/>
    </xf>
    <xf numFmtId="0" fontId="17" fillId="0" borderId="48" xfId="0" applyFont="1" applyBorder="1" applyAlignment="1" applyProtection="1">
      <alignment horizontal="left" vertical="top" indent="1"/>
      <protection hidden="1"/>
    </xf>
    <xf numFmtId="0" fontId="1" fillId="4" borderId="78" xfId="0" applyFont="1" applyFill="1" applyBorder="1" applyAlignment="1" applyProtection="1">
      <alignment horizontal="left" vertical="center" indent="3"/>
      <protection hidden="1"/>
    </xf>
    <xf numFmtId="0" fontId="17" fillId="0" borderId="79" xfId="0" applyFont="1" applyBorder="1" applyAlignment="1" applyProtection="1">
      <alignment horizontal="left" vertical="top" indent="1"/>
      <protection hidden="1"/>
    </xf>
    <xf numFmtId="0" fontId="17" fillId="0" borderId="40" xfId="0" applyFont="1" applyBorder="1" applyAlignment="1" applyProtection="1">
      <alignment horizontal="left" vertical="top" indent="1"/>
      <protection hidden="1"/>
    </xf>
    <xf numFmtId="0" fontId="1" fillId="4" borderId="24" xfId="0" applyFont="1" applyFill="1" applyBorder="1" applyAlignment="1" applyProtection="1">
      <alignment horizontal="left" vertical="center" indent="3"/>
      <protection hidden="1"/>
    </xf>
    <xf numFmtId="0" fontId="17" fillId="0" borderId="76" xfId="0" applyFont="1" applyBorder="1" applyAlignment="1" applyProtection="1">
      <alignment horizontal="left" vertical="top" indent="1"/>
      <protection hidden="1"/>
    </xf>
    <xf numFmtId="0" fontId="17" fillId="0" borderId="10" xfId="0" applyFont="1" applyBorder="1" applyAlignment="1" applyProtection="1">
      <alignment horizontal="left" vertical="top" indent="1"/>
      <protection hidden="1"/>
    </xf>
    <xf numFmtId="0" fontId="17" fillId="0" borderId="11" xfId="0" applyFont="1" applyBorder="1" applyAlignment="1" applyProtection="1">
      <alignment horizontal="left" vertical="top" indent="1"/>
      <protection hidden="1"/>
    </xf>
    <xf numFmtId="0" fontId="17" fillId="0" borderId="8" xfId="0" applyFont="1" applyBorder="1" applyAlignment="1" applyProtection="1">
      <alignment horizontal="left" vertical="top" indent="1"/>
      <protection hidden="1"/>
    </xf>
    <xf numFmtId="0" fontId="17" fillId="0" borderId="72" xfId="0" applyFont="1" applyBorder="1" applyAlignment="1" applyProtection="1">
      <alignment horizontal="left" vertical="top" indent="1"/>
      <protection hidden="1"/>
    </xf>
    <xf numFmtId="0" fontId="17" fillId="0" borderId="73" xfId="0" applyFont="1" applyBorder="1" applyAlignment="1" applyProtection="1">
      <alignment horizontal="left" vertical="top" indent="1"/>
      <protection hidden="1"/>
    </xf>
    <xf numFmtId="0" fontId="17" fillId="0" borderId="77" xfId="0" applyFont="1" applyBorder="1" applyAlignment="1" applyProtection="1">
      <alignment horizontal="left" vertical="top" indent="1"/>
      <protection hidden="1"/>
    </xf>
    <xf numFmtId="0" fontId="17" fillId="0" borderId="20" xfId="0" applyFont="1" applyBorder="1" applyAlignment="1" applyProtection="1">
      <alignment horizontal="left" vertical="top" indent="1"/>
      <protection hidden="1"/>
    </xf>
    <xf numFmtId="0" fontId="17" fillId="0" borderId="74" xfId="0" applyFont="1" applyBorder="1" applyAlignment="1" applyProtection="1">
      <alignment horizontal="left" vertical="top" indent="3"/>
      <protection hidden="1"/>
    </xf>
    <xf numFmtId="0" fontId="17" fillId="0" borderId="19" xfId="0" applyFont="1" applyBorder="1" applyAlignment="1" applyProtection="1">
      <alignment horizontal="left" vertical="top" indent="3"/>
      <protection hidden="1"/>
    </xf>
    <xf numFmtId="0" fontId="17" fillId="0" borderId="8" xfId="0" applyFont="1" applyBorder="1" applyAlignment="1" applyProtection="1">
      <alignment horizontal="left" vertical="top" indent="3"/>
      <protection hidden="1"/>
    </xf>
    <xf numFmtId="0" fontId="17" fillId="0" borderId="77" xfId="0" applyFont="1" applyBorder="1" applyAlignment="1" applyProtection="1">
      <alignment horizontal="left" vertical="top" indent="3"/>
      <protection hidden="1"/>
    </xf>
    <xf numFmtId="0" fontId="17" fillId="0" borderId="20" xfId="0" applyFont="1" applyBorder="1" applyAlignment="1" applyProtection="1">
      <alignment horizontal="left" vertical="top" indent="3"/>
      <protection hidden="1"/>
    </xf>
    <xf numFmtId="0" fontId="17" fillId="0" borderId="11" xfId="0" applyFont="1" applyBorder="1" applyAlignment="1" applyProtection="1">
      <alignment horizontal="left" vertical="top" wrapText="1" indent="1"/>
      <protection hidden="1"/>
    </xf>
    <xf numFmtId="0" fontId="17" fillId="0" borderId="8" xfId="0" applyFont="1" applyBorder="1" applyAlignment="1" applyProtection="1">
      <alignment horizontal="left" vertical="top" wrapText="1" indent="1"/>
      <protection hidden="1"/>
    </xf>
    <xf numFmtId="0" fontId="18" fillId="3" borderId="28" xfId="0" applyFont="1" applyFill="1" applyBorder="1" applyAlignment="1" applyProtection="1">
      <alignment horizontal="center" vertical="center" wrapText="1"/>
      <protection hidden="1"/>
    </xf>
    <xf numFmtId="0" fontId="18" fillId="3" borderId="29" xfId="0" applyFont="1" applyFill="1" applyBorder="1" applyAlignment="1" applyProtection="1">
      <alignment horizontal="center" vertical="center" wrapText="1"/>
      <protection hidden="1"/>
    </xf>
    <xf numFmtId="0" fontId="1" fillId="4" borderId="17" xfId="0" applyFont="1" applyFill="1" applyBorder="1" applyAlignment="1" applyProtection="1">
      <alignment horizontal="left" vertical="center" indent="3"/>
      <protection hidden="1"/>
    </xf>
    <xf numFmtId="0" fontId="17" fillId="0" borderId="74" xfId="0" applyFont="1" applyBorder="1" applyAlignment="1" applyProtection="1">
      <alignment horizontal="left" vertical="top" indent="1"/>
      <protection hidden="1"/>
    </xf>
    <xf numFmtId="0" fontId="17" fillId="0" borderId="18" xfId="0" applyFont="1" applyBorder="1" applyAlignment="1" applyProtection="1">
      <alignment horizontal="left" vertical="top" indent="1"/>
      <protection hidden="1"/>
    </xf>
    <xf numFmtId="0" fontId="17" fillId="0" borderId="75" xfId="0" applyFont="1" applyBorder="1" applyAlignment="1" applyProtection="1">
      <alignment horizontal="left" vertical="top" indent="1"/>
      <protection hidden="1"/>
    </xf>
    <xf numFmtId="0" fontId="17" fillId="0" borderId="17" xfId="0" applyFont="1" applyBorder="1" applyAlignment="1" applyProtection="1">
      <alignment horizontal="left" vertical="top" indent="1"/>
      <protection hidden="1"/>
    </xf>
    <xf numFmtId="0" fontId="17" fillId="4" borderId="86" xfId="0" applyFont="1" applyFill="1" applyBorder="1" applyAlignment="1" applyProtection="1">
      <alignment horizontal="center" vertical="top" wrapText="1"/>
      <protection locked="0"/>
    </xf>
    <xf numFmtId="0" fontId="17" fillId="4" borderId="87" xfId="0" applyFont="1" applyFill="1" applyBorder="1" applyAlignment="1" applyProtection="1">
      <alignment horizontal="center" vertical="top" wrapText="1"/>
      <protection locked="0"/>
    </xf>
    <xf numFmtId="0" fontId="17" fillId="4" borderId="83" xfId="0" applyFont="1" applyFill="1" applyBorder="1" applyAlignment="1" applyProtection="1">
      <alignment horizontal="center" vertical="top" wrapText="1"/>
      <protection locked="0"/>
    </xf>
    <xf numFmtId="0" fontId="17" fillId="4" borderId="84" xfId="0" applyFont="1" applyFill="1" applyBorder="1" applyAlignment="1" applyProtection="1">
      <alignment horizontal="center" vertical="top" wrapText="1"/>
      <protection locked="0"/>
    </xf>
    <xf numFmtId="0" fontId="17" fillId="4" borderId="80" xfId="0" applyFont="1" applyFill="1" applyBorder="1" applyAlignment="1" applyProtection="1">
      <alignment horizontal="center" vertical="top" wrapText="1"/>
      <protection locked="0"/>
    </xf>
    <xf numFmtId="0" fontId="17" fillId="4" borderId="81" xfId="0" applyFont="1" applyFill="1" applyBorder="1" applyAlignment="1" applyProtection="1">
      <alignment horizontal="center" vertical="top" wrapText="1"/>
      <protection locked="0"/>
    </xf>
    <xf numFmtId="0" fontId="28" fillId="4" borderId="36" xfId="0" applyFont="1" applyFill="1" applyBorder="1" applyAlignment="1" applyProtection="1">
      <alignment horizontal="center" vertical="center" wrapText="1"/>
      <protection hidden="1"/>
    </xf>
    <xf numFmtId="0" fontId="28" fillId="4" borderId="24" xfId="0" applyFont="1" applyFill="1" applyBorder="1" applyAlignment="1" applyProtection="1">
      <alignment horizontal="center" vertical="center" wrapText="1"/>
      <protection hidden="1"/>
    </xf>
    <xf numFmtId="0" fontId="17" fillId="0" borderId="49" xfId="0" applyFont="1" applyBorder="1" applyAlignment="1" applyProtection="1">
      <alignment horizontal="left" vertical="top" wrapText="1"/>
      <protection locked="0"/>
    </xf>
    <xf numFmtId="0" fontId="17" fillId="0" borderId="46" xfId="0" applyFont="1" applyBorder="1" applyAlignment="1" applyProtection="1">
      <alignment horizontal="left" vertical="top" wrapText="1"/>
      <protection locked="0"/>
    </xf>
    <xf numFmtId="0" fontId="17" fillId="0" borderId="26" xfId="0" applyFont="1" applyBorder="1" applyAlignment="1" applyProtection="1">
      <alignment horizontal="left" vertical="top" wrapText="1"/>
      <protection locked="0"/>
    </xf>
    <xf numFmtId="0" fontId="10" fillId="0" borderId="47" xfId="0" applyFont="1" applyBorder="1" applyAlignment="1" applyProtection="1">
      <alignment horizontal="center" vertical="center" wrapText="1"/>
      <protection hidden="1"/>
    </xf>
    <xf numFmtId="0" fontId="10" fillId="0" borderId="44" xfId="0" applyFont="1" applyBorder="1" applyAlignment="1" applyProtection="1">
      <alignment horizontal="center" vertical="center" wrapText="1"/>
      <protection hidden="1"/>
    </xf>
    <xf numFmtId="0" fontId="10" fillId="0" borderId="48" xfId="0" applyFont="1" applyBorder="1" applyAlignment="1" applyProtection="1">
      <alignment horizontal="center" vertical="center" wrapText="1"/>
      <protection hidden="1"/>
    </xf>
    <xf numFmtId="0" fontId="17" fillId="0" borderId="41" xfId="0" applyFont="1" applyBorder="1" applyAlignment="1" applyProtection="1">
      <alignment horizontal="center" vertical="top" wrapText="1"/>
      <protection locked="0"/>
    </xf>
    <xf numFmtId="0" fontId="17" fillId="0" borderId="42" xfId="0" applyFont="1" applyBorder="1" applyAlignment="1" applyProtection="1">
      <alignment horizontal="center" vertical="top" wrapText="1"/>
      <protection locked="0"/>
    </xf>
    <xf numFmtId="0" fontId="17" fillId="0" borderId="30" xfId="0" applyFont="1" applyBorder="1" applyAlignment="1" applyProtection="1">
      <alignment horizontal="center" vertical="top" wrapText="1"/>
      <protection locked="0"/>
    </xf>
    <xf numFmtId="0" fontId="17" fillId="0" borderId="5" xfId="0" applyFont="1" applyBorder="1" applyAlignment="1" applyProtection="1">
      <alignment horizontal="center" vertical="top" wrapText="1"/>
      <protection locked="0"/>
    </xf>
    <xf numFmtId="0" fontId="17" fillId="0" borderId="32" xfId="0" applyFont="1" applyBorder="1" applyAlignment="1" applyProtection="1">
      <alignment horizontal="center" vertical="top" wrapText="1"/>
      <protection locked="0"/>
    </xf>
    <xf numFmtId="0" fontId="17" fillId="0" borderId="4" xfId="0" applyFont="1" applyBorder="1" applyAlignment="1" applyProtection="1">
      <alignment horizontal="center" vertical="top" wrapText="1"/>
      <protection locked="0"/>
    </xf>
    <xf numFmtId="0" fontId="17" fillId="0" borderId="31" xfId="0" applyFont="1" applyBorder="1" applyAlignment="1" applyProtection="1">
      <alignment horizontal="center" vertical="top" wrapText="1"/>
      <protection locked="0"/>
    </xf>
    <xf numFmtId="0" fontId="17" fillId="0" borderId="7" xfId="0" applyFont="1" applyBorder="1" applyAlignment="1" applyProtection="1">
      <alignment horizontal="center" vertical="top" wrapText="1"/>
      <protection locked="0"/>
    </xf>
    <xf numFmtId="0" fontId="17" fillId="0" borderId="32" xfId="0" applyFont="1" applyBorder="1" applyAlignment="1" applyProtection="1">
      <alignment horizontal="center" vertical="top" wrapText="1"/>
      <protection hidden="1"/>
    </xf>
    <xf numFmtId="0" fontId="17" fillId="0" borderId="4" xfId="0" applyFont="1" applyBorder="1" applyAlignment="1" applyProtection="1">
      <alignment horizontal="center" vertical="top" wrapText="1"/>
      <protection hidden="1"/>
    </xf>
    <xf numFmtId="0" fontId="17" fillId="0" borderId="52" xfId="0" applyFont="1" applyBorder="1" applyAlignment="1" applyProtection="1">
      <alignment horizontal="center" vertical="top" wrapText="1"/>
      <protection locked="0"/>
    </xf>
    <xf numFmtId="0" fontId="17" fillId="0" borderId="19" xfId="0" applyFont="1" applyBorder="1" applyAlignment="1" applyProtection="1">
      <alignment horizontal="center" vertical="top" wrapText="1"/>
      <protection locked="0"/>
    </xf>
    <xf numFmtId="0" fontId="17" fillId="0" borderId="50" xfId="0" applyFont="1" applyBorder="1" applyAlignment="1" applyProtection="1">
      <alignment horizontal="center" vertical="top" wrapText="1"/>
      <protection locked="0"/>
    </xf>
    <xf numFmtId="0" fontId="17" fillId="0" borderId="33" xfId="0" applyFont="1" applyBorder="1" applyAlignment="1" applyProtection="1">
      <alignment horizontal="center" vertical="top" wrapText="1"/>
      <protection locked="0"/>
    </xf>
    <xf numFmtId="0" fontId="17" fillId="0" borderId="9" xfId="0" applyFont="1" applyBorder="1" applyAlignment="1" applyProtection="1">
      <alignment horizontal="center" vertical="top" wrapText="1"/>
      <protection locked="0"/>
    </xf>
    <xf numFmtId="3" fontId="17" fillId="0" borderId="32" xfId="0" applyNumberFormat="1" applyFont="1" applyBorder="1" applyAlignment="1" applyProtection="1">
      <alignment horizontal="center" vertical="top" wrapText="1"/>
      <protection locked="0"/>
    </xf>
    <xf numFmtId="3" fontId="17" fillId="0" borderId="4" xfId="0" applyNumberFormat="1" applyFont="1" applyBorder="1" applyAlignment="1" applyProtection="1">
      <alignment horizontal="center" vertical="top" wrapText="1"/>
      <protection locked="0"/>
    </xf>
    <xf numFmtId="3" fontId="17" fillId="0" borderId="31" xfId="0" applyNumberFormat="1" applyFont="1" applyBorder="1" applyAlignment="1" applyProtection="1">
      <alignment horizontal="center" vertical="top" wrapText="1"/>
      <protection locked="0"/>
    </xf>
    <xf numFmtId="3" fontId="17" fillId="0" borderId="7" xfId="0" applyNumberFormat="1" applyFont="1" applyBorder="1" applyAlignment="1" applyProtection="1">
      <alignment horizontal="center" vertical="top" wrapText="1"/>
      <protection locked="0"/>
    </xf>
    <xf numFmtId="164" fontId="17" fillId="0" borderId="30" xfId="0" applyNumberFormat="1" applyFont="1" applyBorder="1" applyAlignment="1" applyProtection="1">
      <alignment horizontal="center" vertical="top" wrapText="1"/>
      <protection hidden="1"/>
    </xf>
    <xf numFmtId="164" fontId="17" fillId="0" borderId="5" xfId="0" applyNumberFormat="1" applyFont="1" applyBorder="1" applyAlignment="1" applyProtection="1">
      <alignment horizontal="center" vertical="top" wrapText="1"/>
      <protection hidden="1"/>
    </xf>
    <xf numFmtId="0" fontId="18" fillId="3" borderId="27" xfId="0" applyFont="1" applyFill="1" applyBorder="1" applyAlignment="1" applyProtection="1">
      <alignment horizontal="center" vertical="center" wrapText="1"/>
      <protection hidden="1"/>
    </xf>
    <xf numFmtId="0" fontId="17" fillId="0" borderId="31" xfId="0" applyFont="1" applyBorder="1" applyAlignment="1" applyProtection="1">
      <alignment horizontal="center" vertical="top" wrapText="1"/>
      <protection hidden="1"/>
    </xf>
    <xf numFmtId="0" fontId="17" fillId="0" borderId="7" xfId="0" applyFont="1" applyBorder="1" applyAlignment="1" applyProtection="1">
      <alignment horizontal="center" vertical="top" wrapText="1"/>
      <protection hidden="1"/>
    </xf>
    <xf numFmtId="0" fontId="17" fillId="0" borderId="30" xfId="0" applyFont="1" applyBorder="1" applyAlignment="1" applyProtection="1">
      <alignment horizontal="center" vertical="top" wrapText="1"/>
      <protection hidden="1"/>
    </xf>
    <xf numFmtId="0" fontId="17" fillId="0" borderId="5" xfId="0" applyFont="1" applyBorder="1" applyAlignment="1" applyProtection="1">
      <alignment horizontal="center" vertical="top" wrapText="1"/>
      <protection hidden="1"/>
    </xf>
    <xf numFmtId="0" fontId="17" fillId="0" borderId="18" xfId="0" applyFont="1" applyBorder="1" applyAlignment="1" applyProtection="1">
      <alignment horizontal="center" vertical="top" wrapText="1"/>
      <protection locked="0"/>
    </xf>
    <xf numFmtId="0" fontId="17" fillId="0" borderId="73" xfId="0" applyFont="1" applyBorder="1" applyAlignment="1" applyProtection="1">
      <alignment horizontal="center" vertical="top" wrapText="1"/>
      <protection locked="0"/>
    </xf>
    <xf numFmtId="0" fontId="17" fillId="0" borderId="8" xfId="0" applyFont="1" applyBorder="1" applyAlignment="1" applyProtection="1">
      <alignment horizontal="center" vertical="top" wrapText="1"/>
      <protection hidden="1"/>
    </xf>
    <xf numFmtId="0" fontId="17" fillId="0" borderId="10" xfId="0" applyFont="1" applyBorder="1" applyAlignment="1" applyProtection="1">
      <alignment horizontal="center" vertical="top" wrapText="1"/>
      <protection hidden="1"/>
    </xf>
    <xf numFmtId="0" fontId="0" fillId="4" borderId="36" xfId="0" applyFill="1" applyBorder="1" applyAlignment="1" applyProtection="1">
      <alignment horizontal="center" vertical="top" wrapText="1"/>
      <protection hidden="1"/>
    </xf>
    <xf numFmtId="0" fontId="0" fillId="4" borderId="24" xfId="0" applyFill="1" applyBorder="1" applyAlignment="1" applyProtection="1">
      <alignment horizontal="center" vertical="top" wrapText="1"/>
      <protection hidden="1"/>
    </xf>
    <xf numFmtId="0" fontId="43" fillId="0" borderId="15" xfId="0" applyFont="1" applyBorder="1" applyAlignment="1">
      <alignment horizontal="center" vertical="center"/>
    </xf>
    <xf numFmtId="0" fontId="43" fillId="0" borderId="16" xfId="0" applyFont="1" applyBorder="1" applyAlignment="1">
      <alignment horizontal="center" vertical="center"/>
    </xf>
    <xf numFmtId="0" fontId="29" fillId="0" borderId="109" xfId="0" applyFont="1" applyBorder="1" applyAlignment="1" applyProtection="1">
      <alignment horizontal="left"/>
      <protection hidden="1"/>
    </xf>
    <xf numFmtId="0" fontId="29" fillId="0" borderId="110" xfId="0" applyFont="1" applyBorder="1" applyAlignment="1" applyProtection="1">
      <alignment horizontal="left"/>
      <protection hidden="1"/>
    </xf>
    <xf numFmtId="0" fontId="29" fillId="0" borderId="111" xfId="0" applyFont="1" applyBorder="1" applyAlignment="1" applyProtection="1">
      <alignment horizontal="left"/>
      <protection hidden="1"/>
    </xf>
    <xf numFmtId="0" fontId="31" fillId="6" borderId="64" xfId="0" applyFont="1" applyFill="1" applyBorder="1" applyAlignment="1" applyProtection="1">
      <alignment horizontal="left" vertical="center"/>
      <protection hidden="1"/>
    </xf>
    <xf numFmtId="0" fontId="30" fillId="6" borderId="64" xfId="0" applyFont="1" applyFill="1" applyBorder="1" applyAlignment="1" applyProtection="1">
      <alignment horizontal="center" vertical="center" wrapText="1"/>
      <protection hidden="1"/>
    </xf>
    <xf numFmtId="0" fontId="30" fillId="6" borderId="0" xfId="0" applyFont="1" applyFill="1" applyAlignment="1" applyProtection="1">
      <alignment horizontal="center" vertical="center" wrapText="1"/>
      <protection hidden="1"/>
    </xf>
    <xf numFmtId="0" fontId="30" fillId="6" borderId="115" xfId="0" applyFont="1" applyFill="1" applyBorder="1" applyAlignment="1" applyProtection="1">
      <alignment horizontal="center" vertical="center" wrapText="1"/>
      <protection hidden="1"/>
    </xf>
    <xf numFmtId="0" fontId="31" fillId="0" borderId="64" xfId="0" applyFont="1" applyBorder="1" applyAlignment="1" applyProtection="1">
      <alignment horizontal="center" vertical="center" wrapText="1"/>
      <protection hidden="1"/>
    </xf>
    <xf numFmtId="0" fontId="31" fillId="0" borderId="65" xfId="0" applyFont="1" applyBorder="1" applyAlignment="1" applyProtection="1">
      <alignment horizontal="center" vertical="center" wrapText="1"/>
      <protection hidden="1"/>
    </xf>
    <xf numFmtId="0" fontId="31" fillId="0" borderId="0" xfId="0" applyFont="1" applyAlignment="1" applyProtection="1">
      <alignment horizontal="center" vertical="center" wrapText="1"/>
      <protection hidden="1"/>
    </xf>
    <xf numFmtId="164" fontId="31" fillId="0" borderId="64" xfId="0" applyNumberFormat="1" applyFont="1" applyBorder="1" applyAlignment="1" applyProtection="1">
      <alignment horizontal="center" vertical="center" wrapText="1"/>
      <protection hidden="1"/>
    </xf>
    <xf numFmtId="164" fontId="31" fillId="0" borderId="65" xfId="0" applyNumberFormat="1" applyFont="1" applyBorder="1" applyAlignment="1" applyProtection="1">
      <alignment horizontal="center" vertical="center" wrapText="1"/>
      <protection hidden="1"/>
    </xf>
    <xf numFmtId="0" fontId="29" fillId="0" borderId="0" xfId="0" applyFont="1" applyAlignment="1" applyProtection="1">
      <alignment horizontal="center" vertical="center"/>
      <protection hidden="1"/>
    </xf>
    <xf numFmtId="0" fontId="29" fillId="0" borderId="65" xfId="0" applyFont="1" applyBorder="1" applyAlignment="1" applyProtection="1">
      <alignment horizontal="center" vertical="center"/>
      <protection hidden="1"/>
    </xf>
    <xf numFmtId="0" fontId="31" fillId="0" borderId="64" xfId="0" applyFont="1" applyBorder="1" applyAlignment="1" applyProtection="1">
      <alignment horizontal="left" vertical="center" wrapText="1" indent="1"/>
      <protection hidden="1"/>
    </xf>
    <xf numFmtId="0" fontId="31" fillId="0" borderId="65" xfId="0" applyFont="1" applyBorder="1" applyAlignment="1" applyProtection="1">
      <alignment horizontal="left" vertical="center" wrapText="1" indent="1"/>
      <protection hidden="1"/>
    </xf>
    <xf numFmtId="3" fontId="31" fillId="0" borderId="64" xfId="0" applyNumberFormat="1" applyFont="1" applyBorder="1" applyAlignment="1" applyProtection="1">
      <alignment horizontal="center" vertical="center" wrapText="1"/>
      <protection hidden="1"/>
    </xf>
    <xf numFmtId="3" fontId="31" fillId="0" borderId="65" xfId="0" applyNumberFormat="1" applyFont="1" applyBorder="1" applyAlignment="1" applyProtection="1">
      <alignment horizontal="center" vertical="center" wrapText="1"/>
      <protection hidden="1"/>
    </xf>
    <xf numFmtId="164" fontId="31" fillId="0" borderId="0" xfId="0" applyNumberFormat="1" applyFont="1" applyAlignment="1" applyProtection="1">
      <alignment horizontal="center" vertical="center" wrapText="1"/>
      <protection hidden="1"/>
    </xf>
    <xf numFmtId="0" fontId="31" fillId="0" borderId="0" xfId="0" applyFont="1" applyAlignment="1" applyProtection="1">
      <alignment horizontal="left" vertical="center" wrapText="1" indent="1"/>
      <protection hidden="1"/>
    </xf>
    <xf numFmtId="3" fontId="31" fillId="0" borderId="0" xfId="0" applyNumberFormat="1" applyFont="1" applyAlignment="1" applyProtection="1">
      <alignment horizontal="center" vertical="center" wrapText="1"/>
      <protection hidden="1"/>
    </xf>
    <xf numFmtId="0" fontId="30" fillId="6" borderId="65" xfId="0" applyFont="1" applyFill="1" applyBorder="1" applyAlignment="1" applyProtection="1">
      <alignment horizontal="center" vertical="center" wrapText="1"/>
      <protection hidden="1"/>
    </xf>
    <xf numFmtId="0" fontId="30" fillId="6" borderId="63" xfId="0" applyFont="1" applyFill="1" applyBorder="1" applyAlignment="1" applyProtection="1">
      <alignment horizontal="center" vertical="center" wrapText="1"/>
      <protection hidden="1"/>
    </xf>
    <xf numFmtId="0" fontId="35" fillId="6" borderId="101" xfId="0" applyFont="1" applyFill="1" applyBorder="1" applyAlignment="1" applyProtection="1">
      <alignment horizontal="center" vertical="center" wrapText="1"/>
      <protection hidden="1"/>
    </xf>
    <xf numFmtId="0" fontId="35" fillId="6" borderId="102" xfId="0" applyFont="1" applyFill="1" applyBorder="1" applyAlignment="1" applyProtection="1">
      <alignment horizontal="center" vertical="center" wrapText="1"/>
      <protection hidden="1"/>
    </xf>
    <xf numFmtId="0" fontId="35" fillId="6" borderId="35" xfId="0" applyFont="1" applyFill="1" applyBorder="1" applyAlignment="1" applyProtection="1">
      <alignment horizontal="center" vertical="center" wrapText="1"/>
      <protection hidden="1"/>
    </xf>
    <xf numFmtId="0" fontId="35" fillId="6" borderId="99" xfId="0" applyFont="1" applyFill="1" applyBorder="1" applyAlignment="1" applyProtection="1">
      <alignment horizontal="center" vertical="center" wrapText="1"/>
      <protection hidden="1"/>
    </xf>
    <xf numFmtId="0" fontId="35" fillId="6" borderId="100" xfId="0" applyFont="1" applyFill="1" applyBorder="1" applyAlignment="1" applyProtection="1">
      <alignment horizontal="center" vertical="center" wrapText="1"/>
      <protection hidden="1"/>
    </xf>
    <xf numFmtId="0" fontId="35" fillId="6" borderId="103" xfId="0" applyFont="1" applyFill="1" applyBorder="1" applyAlignment="1" applyProtection="1">
      <alignment horizontal="center" vertical="center" wrapText="1"/>
      <protection hidden="1"/>
    </xf>
    <xf numFmtId="0" fontId="44" fillId="0" borderId="112" xfId="0" applyFont="1" applyBorder="1" applyAlignment="1" applyProtection="1">
      <alignment horizontal="left"/>
      <protection hidden="1"/>
    </xf>
    <xf numFmtId="0" fontId="44" fillId="0" borderId="113" xfId="0" applyFont="1" applyBorder="1" applyAlignment="1" applyProtection="1">
      <alignment horizontal="left"/>
      <protection hidden="1"/>
    </xf>
    <xf numFmtId="0" fontId="44" fillId="0" borderId="114" xfId="0" applyFont="1" applyBorder="1" applyAlignment="1" applyProtection="1">
      <alignment horizontal="left"/>
      <protection hidden="1"/>
    </xf>
  </cellXfs>
  <cellStyles count="3">
    <cellStyle name="Hipervínculo" xfId="2" builtinId="8"/>
    <cellStyle name="Normal" xfId="0" builtinId="0"/>
    <cellStyle name="Porcentaje" xfId="1" builtinId="5"/>
  </cellStyles>
  <dxfs count="1122">
    <dxf>
      <font>
        <b val="0"/>
        <i/>
        <color theme="0" tint="-0.24994659260841701"/>
      </font>
      <fill>
        <patternFill patternType="none">
          <bgColor auto="1"/>
        </patternFill>
      </fill>
    </dxf>
    <dxf>
      <font>
        <color theme="0"/>
      </font>
      <fill>
        <patternFill>
          <bgColor theme="0"/>
        </patternFill>
      </fill>
      <border>
        <left style="thin">
          <color theme="0"/>
        </left>
        <right style="thin">
          <color theme="0"/>
        </right>
        <top style="thin">
          <color theme="0"/>
        </top>
        <bottom style="thin">
          <color theme="0"/>
        </bottom>
        <vertical/>
        <horizontal/>
      </border>
    </dxf>
    <dxf>
      <border>
        <top style="thin">
          <color theme="1"/>
        </top>
        <bottom style="thin">
          <color theme="1"/>
        </bottom>
        <vertical/>
        <horizontal/>
      </border>
    </dxf>
    <dxf>
      <font>
        <color theme="0"/>
      </font>
    </dxf>
    <dxf>
      <font>
        <color auto="1"/>
      </font>
      <fill>
        <patternFill>
          <bgColor rgb="FFFAA0A0"/>
        </patternFill>
      </fill>
    </dxf>
    <dxf>
      <font>
        <color auto="1"/>
      </font>
      <fill>
        <patternFill>
          <bgColor theme="9" tint="0.39994506668294322"/>
        </patternFill>
      </fill>
    </dxf>
    <dxf>
      <font>
        <color auto="1"/>
      </font>
      <fill>
        <patternFill>
          <bgColor theme="7" tint="0.59996337778862885"/>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dxf>
    <dxf>
      <font>
        <color theme="0"/>
      </font>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auto="1"/>
      </font>
      <border>
        <top style="thin">
          <color auto="1"/>
        </top>
        <bottom style="thin">
          <color auto="1"/>
        </bottom>
        <vertical/>
        <horizontal/>
      </border>
    </dxf>
    <dxf>
      <fill>
        <patternFill>
          <bgColor theme="0"/>
        </patternFill>
      </fill>
      <border>
        <left/>
        <right style="thin">
          <color theme="0"/>
        </right>
        <top style="thin">
          <color theme="1"/>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ill>
        <patternFill>
          <bgColor theme="7" tint="0.79998168889431442"/>
        </patternFill>
      </fill>
    </dxf>
    <dxf>
      <font>
        <color auto="1"/>
      </font>
      <fill>
        <patternFill>
          <bgColor theme="9" tint="0.39994506668294322"/>
        </patternFill>
      </fill>
    </dxf>
    <dxf>
      <font>
        <color auto="1"/>
      </font>
      <fill>
        <patternFill>
          <bgColor rgb="FFFAA0A0"/>
        </patternFill>
      </fill>
    </dxf>
    <dxf>
      <font>
        <color auto="1"/>
      </font>
      <fill>
        <patternFill>
          <bgColor theme="7" tint="0.59996337778862885"/>
        </patternFill>
      </fill>
    </dxf>
    <dxf>
      <fill>
        <patternFill>
          <bgColor theme="7" tint="0.79998168889431442"/>
        </patternFill>
      </fill>
    </dxf>
    <dxf>
      <font>
        <color auto="1"/>
      </font>
      <fill>
        <patternFill>
          <bgColor theme="9" tint="0.39994506668294322"/>
        </patternFill>
      </fill>
    </dxf>
    <dxf>
      <font>
        <color auto="1"/>
      </font>
      <fill>
        <patternFill>
          <bgColor rgb="FFFAA0A0"/>
        </patternFill>
      </fill>
    </dxf>
    <dxf>
      <font>
        <color auto="1"/>
      </font>
      <fill>
        <patternFill>
          <bgColor theme="7" tint="0.59996337778862885"/>
        </patternFill>
      </fill>
    </dxf>
    <dxf>
      <fill>
        <patternFill>
          <bgColor theme="7" tint="0.79998168889431442"/>
        </patternFill>
      </fill>
    </dxf>
    <dxf>
      <font>
        <color auto="1"/>
      </font>
      <fill>
        <patternFill>
          <bgColor theme="9" tint="0.39994506668294322"/>
        </patternFill>
      </fill>
    </dxf>
    <dxf>
      <font>
        <color auto="1"/>
      </font>
      <fill>
        <patternFill>
          <bgColor rgb="FFFAA0A0"/>
        </patternFill>
      </fill>
    </dxf>
    <dxf>
      <font>
        <color auto="1"/>
      </font>
      <fill>
        <patternFill>
          <bgColor theme="7" tint="0.59996337778862885"/>
        </patternFill>
      </fill>
    </dxf>
    <dxf>
      <fill>
        <patternFill>
          <bgColor theme="7" tint="0.79998168889431442"/>
        </patternFill>
      </fill>
    </dxf>
    <dxf>
      <font>
        <color auto="1"/>
      </font>
      <fill>
        <patternFill>
          <bgColor theme="9" tint="0.39994506668294322"/>
        </patternFill>
      </fill>
    </dxf>
    <dxf>
      <font>
        <color auto="1"/>
      </font>
      <fill>
        <patternFill>
          <bgColor rgb="FFFAA0A0"/>
        </patternFill>
      </fill>
    </dxf>
    <dxf>
      <font>
        <color auto="1"/>
      </font>
      <fill>
        <patternFill>
          <bgColor theme="7"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right/>
        <top/>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b/>
        <i val="0"/>
        <color rgb="FF9C0006"/>
      </font>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ont>
        <color auto="1"/>
      </font>
      <fill>
        <patternFill>
          <bgColor theme="7" tint="0.79998168889431442"/>
        </patternFill>
      </fill>
    </dxf>
    <dxf>
      <font>
        <color theme="1"/>
      </font>
      <fill>
        <patternFill>
          <bgColor theme="7"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b val="0"/>
        <i val="0"/>
        <color auto="1"/>
      </font>
    </dxf>
    <dxf>
      <fill>
        <patternFill>
          <bgColor theme="7" tint="0.79998168889431442"/>
        </patternFill>
      </fill>
    </dxf>
    <dxf>
      <fill>
        <patternFill>
          <bgColor theme="0"/>
        </patternFill>
      </fill>
      <border>
        <top style="thin">
          <color theme="0" tint="-0.24994659260841701"/>
        </top>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0"/>
      </font>
      <border>
        <bottom style="thin">
          <color theme="0"/>
        </bottom>
        <vertical/>
        <horizontal/>
      </border>
    </dxf>
  </dxfs>
  <tableStyles count="1" defaultTableStyle="TableStyleMedium2" defaultPivotStyle="PivotStyleLight16">
    <tableStyle name="Estilo de tabla 1" pivot="0" count="0" xr9:uid="{69445539-FC0C-4409-8607-9658B4EBB9ED}"/>
  </tableStyles>
  <colors>
    <mruColors>
      <color rgb="FFFAA0A0"/>
      <color rgb="FFA40000"/>
      <color rgb="FFF9A299"/>
      <color rgb="FFFF9B9B"/>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sng" strike="noStrike" kern="1200" cap="none" spc="50" baseline="0">
                <a:solidFill>
                  <a:schemeClr val="tx1">
                    <a:lumMod val="65000"/>
                    <a:lumOff val="35000"/>
                  </a:schemeClr>
                </a:solidFill>
                <a:latin typeface="+mj-lt"/>
                <a:ea typeface="+mn-ea"/>
                <a:cs typeface="+mn-cs"/>
              </a:defRPr>
            </a:pPr>
            <a:r>
              <a:rPr lang="es-ES" sz="1200" b="1" u="none" cap="none" baseline="0">
                <a:latin typeface="+mj-lt"/>
              </a:rPr>
              <a:t>Figure 1.a. </a:t>
            </a:r>
            <a:r>
              <a:rPr lang="es-ES" sz="1200" b="0" u="none" cap="none" baseline="0">
                <a:latin typeface="+mj-lt"/>
              </a:rPr>
              <a:t>Summary of Risk of Bias assessment</a:t>
            </a:r>
          </a:p>
        </c:rich>
      </c:tx>
      <c:layout>
        <c:manualLayout>
          <c:xMode val="edge"/>
          <c:yMode val="edge"/>
          <c:x val="2.7613048368953893E-2"/>
          <c:y val="3.1111100223586974E-2"/>
        </c:manualLayout>
      </c:layout>
      <c:overlay val="0"/>
      <c:spPr>
        <a:noFill/>
        <a:ln>
          <a:noFill/>
        </a:ln>
        <a:effectLst/>
      </c:spPr>
      <c:txPr>
        <a:bodyPr rot="0" spcFirstLastPara="1" vertOverflow="ellipsis" vert="horz" wrap="square" anchor="ctr" anchorCtr="1"/>
        <a:lstStyle/>
        <a:p>
          <a:pPr>
            <a:defRPr sz="1200" b="1" i="0" u="sng" strike="noStrike" kern="1200" cap="none" spc="50" baseline="0">
              <a:solidFill>
                <a:schemeClr val="tx1">
                  <a:lumMod val="65000"/>
                  <a:lumOff val="35000"/>
                </a:schemeClr>
              </a:solidFill>
              <a:latin typeface="+mj-lt"/>
              <a:ea typeface="+mn-ea"/>
              <a:cs typeface="+mn-cs"/>
            </a:defRPr>
          </a:pPr>
          <a:endParaRPr lang="es-ES"/>
        </a:p>
      </c:txPr>
    </c:title>
    <c:autoTitleDeleted val="0"/>
    <c:plotArea>
      <c:layout/>
      <c:barChart>
        <c:barDir val="bar"/>
        <c:grouping val="stacked"/>
        <c:varyColors val="0"/>
        <c:ser>
          <c:idx val="0"/>
          <c:order val="0"/>
          <c:tx>
            <c:v>Low RoB</c:v>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j-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('PROBAST summary'!$C$5:$F$5,'PROBAST summary'!$J$5)</c:f>
              <c:strCache>
                <c:ptCount val="5"/>
                <c:pt idx="0">
                  <c:v> 1. Participants</c:v>
                </c:pt>
                <c:pt idx="1">
                  <c:v> 2. Predictors</c:v>
                </c:pt>
                <c:pt idx="2">
                  <c:v> 3. Outcome</c:v>
                </c:pt>
                <c:pt idx="3">
                  <c:v> 4. Analysis</c:v>
                </c:pt>
                <c:pt idx="4">
                  <c:v> Risk of Bias</c:v>
                </c:pt>
              </c:strCache>
            </c:strRef>
          </c:cat>
          <c:val>
            <c:numRef>
              <c:f>('PROBAST summary'!$C$37:$F$37,'PROBAST summary'!$J$37)</c:f>
              <c:numCache>
                <c:formatCode>0%</c:formatCode>
                <c:ptCount val="5"/>
                <c:pt idx="0">
                  <c:v>0.63636363636363635</c:v>
                </c:pt>
                <c:pt idx="1">
                  <c:v>0.90909090909090906</c:v>
                </c:pt>
                <c:pt idx="2">
                  <c:v>1</c:v>
                </c:pt>
                <c:pt idx="3">
                  <c:v>0.18181818181818182</c:v>
                </c:pt>
                <c:pt idx="4">
                  <c:v>0.18181818181818182</c:v>
                </c:pt>
              </c:numCache>
            </c:numRef>
          </c:val>
          <c:extLst>
            <c:ext xmlns:c16="http://schemas.microsoft.com/office/drawing/2014/chart" uri="{C3380CC4-5D6E-409C-BE32-E72D297353CC}">
              <c16:uniqueId val="{00000000-5808-45C4-AA6C-6265F38F6611}"/>
            </c:ext>
          </c:extLst>
        </c:ser>
        <c:ser>
          <c:idx val="1"/>
          <c:order val="1"/>
          <c:tx>
            <c:v>High RoB</c:v>
          </c:tx>
          <c:spPr>
            <a:solidFill>
              <a:srgbClr val="FAA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j-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('PROBAST summary'!$C$5:$F$5,'PROBAST summary'!$J$5)</c:f>
              <c:strCache>
                <c:ptCount val="5"/>
                <c:pt idx="0">
                  <c:v> 1. Participants</c:v>
                </c:pt>
                <c:pt idx="1">
                  <c:v> 2. Predictors</c:v>
                </c:pt>
                <c:pt idx="2">
                  <c:v> 3. Outcome</c:v>
                </c:pt>
                <c:pt idx="3">
                  <c:v> 4. Analysis</c:v>
                </c:pt>
                <c:pt idx="4">
                  <c:v> Risk of Bias</c:v>
                </c:pt>
              </c:strCache>
            </c:strRef>
          </c:cat>
          <c:val>
            <c:numRef>
              <c:f>('PROBAST summary'!$C$38:$F$38,'PROBAST summary'!$J$38)</c:f>
              <c:numCache>
                <c:formatCode>0%</c:formatCode>
                <c:ptCount val="5"/>
                <c:pt idx="0">
                  <c:v>0.18181818181818182</c:v>
                </c:pt>
                <c:pt idx="1">
                  <c:v>0</c:v>
                </c:pt>
                <c:pt idx="2">
                  <c:v>0</c:v>
                </c:pt>
                <c:pt idx="3">
                  <c:v>0.72727272727272729</c:v>
                </c:pt>
                <c:pt idx="4">
                  <c:v>0.72727272727272729</c:v>
                </c:pt>
              </c:numCache>
            </c:numRef>
          </c:val>
          <c:extLst>
            <c:ext xmlns:c16="http://schemas.microsoft.com/office/drawing/2014/chart" uri="{C3380CC4-5D6E-409C-BE32-E72D297353CC}">
              <c16:uniqueId val="{00000001-5808-45C4-AA6C-6265F38F6611}"/>
            </c:ext>
          </c:extLst>
        </c:ser>
        <c:ser>
          <c:idx val="2"/>
          <c:order val="2"/>
          <c:tx>
            <c:v>Unclear</c:v>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('PROBAST summary'!$C$5:$F$5,'PROBAST summary'!$J$5)</c:f>
              <c:strCache>
                <c:ptCount val="5"/>
                <c:pt idx="0">
                  <c:v> 1. Participants</c:v>
                </c:pt>
                <c:pt idx="1">
                  <c:v> 2. Predictors</c:v>
                </c:pt>
                <c:pt idx="2">
                  <c:v> 3. Outcome</c:v>
                </c:pt>
                <c:pt idx="3">
                  <c:v> 4. Analysis</c:v>
                </c:pt>
                <c:pt idx="4">
                  <c:v> Risk of Bias</c:v>
                </c:pt>
              </c:strCache>
            </c:strRef>
          </c:cat>
          <c:val>
            <c:numRef>
              <c:f>('PROBAST summary'!$C$39:$F$39,'PROBAST summary'!$J$39)</c:f>
              <c:numCache>
                <c:formatCode>0%</c:formatCode>
                <c:ptCount val="5"/>
                <c:pt idx="0">
                  <c:v>0.18181818181818177</c:v>
                </c:pt>
                <c:pt idx="1">
                  <c:v>9.0909090909090939E-2</c:v>
                </c:pt>
                <c:pt idx="2">
                  <c:v>0</c:v>
                </c:pt>
                <c:pt idx="3">
                  <c:v>9.0909090909090884E-2</c:v>
                </c:pt>
                <c:pt idx="4">
                  <c:v>9.0909090909090884E-2</c:v>
                </c:pt>
              </c:numCache>
            </c:numRef>
          </c:val>
          <c:extLst>
            <c:ext xmlns:c16="http://schemas.microsoft.com/office/drawing/2014/chart" uri="{C3380CC4-5D6E-409C-BE32-E72D297353CC}">
              <c16:uniqueId val="{00000002-5808-45C4-AA6C-6265F38F6611}"/>
            </c:ext>
          </c:extLst>
        </c:ser>
        <c:dLbls>
          <c:dLblPos val="ctr"/>
          <c:showLegendKey val="0"/>
          <c:showVal val="1"/>
          <c:showCatName val="0"/>
          <c:showSerName val="0"/>
          <c:showPercent val="0"/>
          <c:showBubbleSize val="0"/>
        </c:dLbls>
        <c:gapWidth val="50"/>
        <c:overlap val="100"/>
        <c:axId val="421729928"/>
        <c:axId val="360608192"/>
      </c:barChart>
      <c:catAx>
        <c:axId val="421729928"/>
        <c:scaling>
          <c:orientation val="minMax"/>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0" spcFirstLastPara="1" vertOverflow="ellipsis" wrap="square" anchor="ctr" anchorCtr="0"/>
          <a:lstStyle/>
          <a:p>
            <a:pPr>
              <a:defRPr sz="1000" b="0" i="0" u="none" strike="noStrike" kern="1200" baseline="0">
                <a:solidFill>
                  <a:schemeClr val="tx1"/>
                </a:solidFill>
                <a:latin typeface="+mj-lt"/>
                <a:ea typeface="+mn-ea"/>
                <a:cs typeface="+mn-cs"/>
              </a:defRPr>
            </a:pPr>
            <a:endParaRPr lang="es-ES"/>
          </a:p>
        </c:txPr>
        <c:crossAx val="360608192"/>
        <c:crosses val="autoZero"/>
        <c:auto val="1"/>
        <c:lblAlgn val="ctr"/>
        <c:lblOffset val="100"/>
        <c:noMultiLvlLbl val="0"/>
      </c:catAx>
      <c:valAx>
        <c:axId val="360608192"/>
        <c:scaling>
          <c:orientation val="minMax"/>
          <c:max val="1"/>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ES"/>
          </a:p>
        </c:txPr>
        <c:crossAx val="421729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j-lt"/>
              <a:ea typeface="+mn-ea"/>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3">
        <a:lumMod val="20000"/>
        <a:lumOff val="80000"/>
      </a:schemeClr>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200" b="1" i="0" u="sng" strike="noStrike" kern="1200" cap="none" spc="50" baseline="0">
                <a:solidFill>
                  <a:schemeClr val="tx1">
                    <a:lumMod val="65000"/>
                    <a:lumOff val="35000"/>
                  </a:schemeClr>
                </a:solidFill>
                <a:latin typeface="+mj-lt"/>
                <a:ea typeface="+mn-ea"/>
                <a:cs typeface="+mn-cs"/>
              </a:defRPr>
            </a:pPr>
            <a:r>
              <a:rPr lang="es-ES" sz="1200" b="1" u="none" cap="none" baseline="0">
                <a:latin typeface="+mj-lt"/>
              </a:rPr>
              <a:t>Figure 1.b. </a:t>
            </a:r>
            <a:r>
              <a:rPr lang="es-ES" sz="1200" b="0" u="none" cap="none" baseline="0">
                <a:latin typeface="+mj-lt"/>
              </a:rPr>
              <a:t>Summary of Applicability assessment</a:t>
            </a:r>
          </a:p>
        </c:rich>
      </c:tx>
      <c:layout>
        <c:manualLayout>
          <c:xMode val="edge"/>
          <c:yMode val="edge"/>
          <c:x val="1.8845144356955366E-2"/>
          <c:y val="3.0769230769230771E-2"/>
        </c:manualLayout>
      </c:layout>
      <c:overlay val="0"/>
      <c:spPr>
        <a:noFill/>
        <a:ln>
          <a:noFill/>
        </a:ln>
        <a:effectLst/>
      </c:spPr>
      <c:txPr>
        <a:bodyPr rot="0" spcFirstLastPara="1" vertOverflow="ellipsis" vert="horz" wrap="square" anchor="ctr" anchorCtr="1"/>
        <a:lstStyle/>
        <a:p>
          <a:pPr algn="l">
            <a:defRPr sz="1200" b="1" i="0" u="sng" strike="noStrike" kern="1200" cap="none" spc="50" baseline="0">
              <a:solidFill>
                <a:schemeClr val="tx1">
                  <a:lumMod val="65000"/>
                  <a:lumOff val="35000"/>
                </a:schemeClr>
              </a:solidFill>
              <a:latin typeface="+mj-lt"/>
              <a:ea typeface="+mn-ea"/>
              <a:cs typeface="+mn-cs"/>
            </a:defRPr>
          </a:pPr>
          <a:endParaRPr lang="es-ES"/>
        </a:p>
      </c:txPr>
    </c:title>
    <c:autoTitleDeleted val="0"/>
    <c:plotArea>
      <c:layout/>
      <c:barChart>
        <c:barDir val="bar"/>
        <c:grouping val="stacked"/>
        <c:varyColors val="0"/>
        <c:ser>
          <c:idx val="0"/>
          <c:order val="0"/>
          <c:tx>
            <c:v>Low concern</c:v>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j-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('PROBAST summary'!$G$5:$I$5,'PROBAST summary'!$K$5)</c:f>
              <c:strCache>
                <c:ptCount val="4"/>
                <c:pt idx="0">
                  <c:v> 1. Participants</c:v>
                </c:pt>
                <c:pt idx="1">
                  <c:v> 2. Predictors</c:v>
                </c:pt>
                <c:pt idx="2">
                  <c:v> 3. Outcome</c:v>
                </c:pt>
                <c:pt idx="3">
                  <c:v> Applicability</c:v>
                </c:pt>
              </c:strCache>
            </c:strRef>
          </c:cat>
          <c:val>
            <c:numRef>
              <c:f>('PROBAST summary'!$G$37:$I$37,'PROBAST summary'!$K$37)</c:f>
              <c:numCache>
                <c:formatCode>0%</c:formatCode>
                <c:ptCount val="4"/>
                <c:pt idx="0">
                  <c:v>0.72727272727272729</c:v>
                </c:pt>
                <c:pt idx="1">
                  <c:v>0.81818181818181823</c:v>
                </c:pt>
                <c:pt idx="2">
                  <c:v>1</c:v>
                </c:pt>
                <c:pt idx="3">
                  <c:v>0.54545454545454541</c:v>
                </c:pt>
              </c:numCache>
            </c:numRef>
          </c:val>
          <c:extLst>
            <c:ext xmlns:c16="http://schemas.microsoft.com/office/drawing/2014/chart" uri="{C3380CC4-5D6E-409C-BE32-E72D297353CC}">
              <c16:uniqueId val="{00000000-1DD3-4B82-9C3F-91FBC7F62F7F}"/>
            </c:ext>
          </c:extLst>
        </c:ser>
        <c:ser>
          <c:idx val="1"/>
          <c:order val="1"/>
          <c:tx>
            <c:v>High concern</c:v>
          </c:tx>
          <c:spPr>
            <a:solidFill>
              <a:srgbClr val="FAA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j-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('PROBAST summary'!$G$5:$I$5,'PROBAST summary'!$K$5)</c:f>
              <c:strCache>
                <c:ptCount val="4"/>
                <c:pt idx="0">
                  <c:v> 1. Participants</c:v>
                </c:pt>
                <c:pt idx="1">
                  <c:v> 2. Predictors</c:v>
                </c:pt>
                <c:pt idx="2">
                  <c:v> 3. Outcome</c:v>
                </c:pt>
                <c:pt idx="3">
                  <c:v> Applicability</c:v>
                </c:pt>
              </c:strCache>
            </c:strRef>
          </c:cat>
          <c:val>
            <c:numRef>
              <c:f>('PROBAST summary'!$G$38:$I$38,'PROBAST summary'!$K$38)</c:f>
              <c:numCache>
                <c:formatCode>0%</c:formatCode>
                <c:ptCount val="4"/>
                <c:pt idx="0">
                  <c:v>9.0909090909090912E-2</c:v>
                </c:pt>
                <c:pt idx="1">
                  <c:v>0</c:v>
                </c:pt>
                <c:pt idx="2">
                  <c:v>0</c:v>
                </c:pt>
                <c:pt idx="3">
                  <c:v>9.0909090909090912E-2</c:v>
                </c:pt>
              </c:numCache>
            </c:numRef>
          </c:val>
          <c:extLst>
            <c:ext xmlns:c16="http://schemas.microsoft.com/office/drawing/2014/chart" uri="{C3380CC4-5D6E-409C-BE32-E72D297353CC}">
              <c16:uniqueId val="{00000001-1DD3-4B82-9C3F-91FBC7F62F7F}"/>
            </c:ext>
          </c:extLst>
        </c:ser>
        <c:ser>
          <c:idx val="2"/>
          <c:order val="2"/>
          <c:tx>
            <c:v>Unclear</c:v>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j-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('PROBAST summary'!$G$5:$I$5,'PROBAST summary'!$K$5)</c:f>
              <c:strCache>
                <c:ptCount val="4"/>
                <c:pt idx="0">
                  <c:v> 1. Participants</c:v>
                </c:pt>
                <c:pt idx="1">
                  <c:v> 2. Predictors</c:v>
                </c:pt>
                <c:pt idx="2">
                  <c:v> 3. Outcome</c:v>
                </c:pt>
                <c:pt idx="3">
                  <c:v> Applicability</c:v>
                </c:pt>
              </c:strCache>
            </c:strRef>
          </c:cat>
          <c:val>
            <c:numRef>
              <c:f>('PROBAST summary'!$G$39:$I$39,'PROBAST summary'!$K$39)</c:f>
              <c:numCache>
                <c:formatCode>0%</c:formatCode>
                <c:ptCount val="4"/>
                <c:pt idx="0">
                  <c:v>0.18181818181818177</c:v>
                </c:pt>
                <c:pt idx="1">
                  <c:v>0.18181818181818177</c:v>
                </c:pt>
                <c:pt idx="2">
                  <c:v>0</c:v>
                </c:pt>
                <c:pt idx="3">
                  <c:v>0.36363636363636365</c:v>
                </c:pt>
              </c:numCache>
            </c:numRef>
          </c:val>
          <c:extLst>
            <c:ext xmlns:c16="http://schemas.microsoft.com/office/drawing/2014/chart" uri="{C3380CC4-5D6E-409C-BE32-E72D297353CC}">
              <c16:uniqueId val="{00000002-1DD3-4B82-9C3F-91FBC7F62F7F}"/>
            </c:ext>
          </c:extLst>
        </c:ser>
        <c:dLbls>
          <c:dLblPos val="ctr"/>
          <c:showLegendKey val="0"/>
          <c:showVal val="1"/>
          <c:showCatName val="0"/>
          <c:showSerName val="0"/>
          <c:showPercent val="0"/>
          <c:showBubbleSize val="0"/>
        </c:dLbls>
        <c:gapWidth val="50"/>
        <c:overlap val="100"/>
        <c:axId val="421729928"/>
        <c:axId val="360608192"/>
      </c:barChart>
      <c:catAx>
        <c:axId val="421729928"/>
        <c:scaling>
          <c:orientation val="minMax"/>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0" spcFirstLastPara="1" vertOverflow="ellipsis" wrap="square" anchor="ctr" anchorCtr="0"/>
          <a:lstStyle/>
          <a:p>
            <a:pPr>
              <a:defRPr sz="1000" b="0" i="0" u="none" strike="noStrike" kern="1200" baseline="0">
                <a:solidFill>
                  <a:schemeClr val="tx1"/>
                </a:solidFill>
                <a:latin typeface="+mj-lt"/>
                <a:ea typeface="+mn-ea"/>
                <a:cs typeface="+mn-cs"/>
              </a:defRPr>
            </a:pPr>
            <a:endParaRPr lang="es-ES"/>
          </a:p>
        </c:txPr>
        <c:crossAx val="360608192"/>
        <c:crosses val="autoZero"/>
        <c:auto val="1"/>
        <c:lblAlgn val="ctr"/>
        <c:lblOffset val="100"/>
        <c:noMultiLvlLbl val="0"/>
      </c:catAx>
      <c:valAx>
        <c:axId val="360608192"/>
        <c:scaling>
          <c:orientation val="minMax"/>
          <c:max val="1"/>
        </c:scaling>
        <c:delete val="0"/>
        <c:axPos val="b"/>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ES"/>
          </a:p>
        </c:txPr>
        <c:crossAx val="421729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3">
        <a:lumMod val="20000"/>
        <a:lumOff val="80000"/>
      </a:schemeClr>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trlProps/ctrlProp1.xml><?xml version="1.0" encoding="utf-8"?>
<formControlPr xmlns="http://schemas.microsoft.com/office/spreadsheetml/2009/9/main" objectType="CheckBox" checked="Checked" fmlaLink="SUMMARY!$B$7" lockText="1" noThreeD="1"/>
</file>

<file path=xl/ctrlProps/ctrlProp10.xml><?xml version="1.0" encoding="utf-8"?>
<formControlPr xmlns="http://schemas.microsoft.com/office/spreadsheetml/2009/9/main" objectType="CheckBox" checked="Checked" fmlaLink="SUMMARY!$B16" lockText="1" noThreeD="1"/>
</file>

<file path=xl/ctrlProps/ctrlProp11.xml><?xml version="1.0" encoding="utf-8"?>
<formControlPr xmlns="http://schemas.microsoft.com/office/spreadsheetml/2009/9/main" objectType="CheckBox" checked="Checked" fmlaLink="SUMMARY!$B17" lockText="1" noThreeD="1"/>
</file>

<file path=xl/ctrlProps/ctrlProp12.xml><?xml version="1.0" encoding="utf-8"?>
<formControlPr xmlns="http://schemas.microsoft.com/office/spreadsheetml/2009/9/main" objectType="CheckBox" fmlaLink="SUMMARY!$B18" lockText="1" noThreeD="1"/>
</file>

<file path=xl/ctrlProps/ctrlProp13.xml><?xml version="1.0" encoding="utf-8"?>
<formControlPr xmlns="http://schemas.microsoft.com/office/spreadsheetml/2009/9/main" objectType="CheckBox" fmlaLink="SUMMARY!$B19" lockText="1" noThreeD="1"/>
</file>

<file path=xl/ctrlProps/ctrlProp14.xml><?xml version="1.0" encoding="utf-8"?>
<formControlPr xmlns="http://schemas.microsoft.com/office/spreadsheetml/2009/9/main" objectType="CheckBox" fmlaLink="SUMMARY!$B20" lockText="1" noThreeD="1"/>
</file>

<file path=xl/ctrlProps/ctrlProp15.xml><?xml version="1.0" encoding="utf-8"?>
<formControlPr xmlns="http://schemas.microsoft.com/office/spreadsheetml/2009/9/main" objectType="CheckBox" fmlaLink="SUMMARY!$B21" lockText="1" noThreeD="1"/>
</file>

<file path=xl/ctrlProps/ctrlProp16.xml><?xml version="1.0" encoding="utf-8"?>
<formControlPr xmlns="http://schemas.microsoft.com/office/spreadsheetml/2009/9/main" objectType="CheckBox" fmlaLink="SUMMARY!$B22" lockText="1" noThreeD="1"/>
</file>

<file path=xl/ctrlProps/ctrlProp17.xml><?xml version="1.0" encoding="utf-8"?>
<formControlPr xmlns="http://schemas.microsoft.com/office/spreadsheetml/2009/9/main" objectType="CheckBox" fmlaLink="SUMMARY!$B23" lockText="1" noThreeD="1"/>
</file>

<file path=xl/ctrlProps/ctrlProp18.xml><?xml version="1.0" encoding="utf-8"?>
<formControlPr xmlns="http://schemas.microsoft.com/office/spreadsheetml/2009/9/main" objectType="CheckBox" fmlaLink="SUMMARY!$B24" lockText="1" noThreeD="1"/>
</file>

<file path=xl/ctrlProps/ctrlProp19.xml><?xml version="1.0" encoding="utf-8"?>
<formControlPr xmlns="http://schemas.microsoft.com/office/spreadsheetml/2009/9/main" objectType="CheckBox" fmlaLink="SUMMARY!$B25" lockText="1" noThreeD="1"/>
</file>

<file path=xl/ctrlProps/ctrlProp2.xml><?xml version="1.0" encoding="utf-8"?>
<formControlPr xmlns="http://schemas.microsoft.com/office/spreadsheetml/2009/9/main" objectType="CheckBox" checked="Checked" fmlaLink="SUMMARY!$B8" lockText="1" noThreeD="1"/>
</file>

<file path=xl/ctrlProps/ctrlProp20.xml><?xml version="1.0" encoding="utf-8"?>
<formControlPr xmlns="http://schemas.microsoft.com/office/spreadsheetml/2009/9/main" objectType="CheckBox" fmlaLink="SUMMARY!$B26" lockText="1" noThreeD="1"/>
</file>

<file path=xl/ctrlProps/ctrlProp21.xml><?xml version="1.0" encoding="utf-8"?>
<formControlPr xmlns="http://schemas.microsoft.com/office/spreadsheetml/2009/9/main" objectType="CheckBox" fmlaLink="SUMMARY!$B27" lockText="1" noThreeD="1"/>
</file>

<file path=xl/ctrlProps/ctrlProp22.xml><?xml version="1.0" encoding="utf-8"?>
<formControlPr xmlns="http://schemas.microsoft.com/office/spreadsheetml/2009/9/main" objectType="CheckBox" fmlaLink="SUMMARY!$B28" lockText="1" noThreeD="1"/>
</file>

<file path=xl/ctrlProps/ctrlProp23.xml><?xml version="1.0" encoding="utf-8"?>
<formControlPr xmlns="http://schemas.microsoft.com/office/spreadsheetml/2009/9/main" objectType="CheckBox" fmlaLink="SUMMARY!$B29" lockText="1" noThreeD="1"/>
</file>

<file path=xl/ctrlProps/ctrlProp24.xml><?xml version="1.0" encoding="utf-8"?>
<formControlPr xmlns="http://schemas.microsoft.com/office/spreadsheetml/2009/9/main" objectType="CheckBox" fmlaLink="SUMMARY!$B30" lockText="1" noThreeD="1"/>
</file>

<file path=xl/ctrlProps/ctrlProp25.xml><?xml version="1.0" encoding="utf-8"?>
<formControlPr xmlns="http://schemas.microsoft.com/office/spreadsheetml/2009/9/main" objectType="CheckBox" fmlaLink="SUMMARY!$B31" lockText="1" noThreeD="1"/>
</file>

<file path=xl/ctrlProps/ctrlProp26.xml><?xml version="1.0" encoding="utf-8"?>
<formControlPr xmlns="http://schemas.microsoft.com/office/spreadsheetml/2009/9/main" objectType="CheckBox" fmlaLink="SUMMARY!$B32" lockText="1" noThreeD="1"/>
</file>

<file path=xl/ctrlProps/ctrlProp27.xml><?xml version="1.0" encoding="utf-8"?>
<formControlPr xmlns="http://schemas.microsoft.com/office/spreadsheetml/2009/9/main" objectType="CheckBox" fmlaLink="SUMMARY!$B33" lockText="1" noThreeD="1"/>
</file>

<file path=xl/ctrlProps/ctrlProp28.xml><?xml version="1.0" encoding="utf-8"?>
<formControlPr xmlns="http://schemas.microsoft.com/office/spreadsheetml/2009/9/main" objectType="CheckBox" fmlaLink="SUMMARY!$B34" lockText="1" noThreeD="1"/>
</file>

<file path=xl/ctrlProps/ctrlProp29.xml><?xml version="1.0" encoding="utf-8"?>
<formControlPr xmlns="http://schemas.microsoft.com/office/spreadsheetml/2009/9/main" objectType="CheckBox" fmlaLink="SUMMARY!$B35" lockText="1" noThreeD="1"/>
</file>

<file path=xl/ctrlProps/ctrlProp3.xml><?xml version="1.0" encoding="utf-8"?>
<formControlPr xmlns="http://schemas.microsoft.com/office/spreadsheetml/2009/9/main" objectType="CheckBox" checked="Checked" fmlaLink="SUMMARY!$B9" lockText="1" noThreeD="1"/>
</file>

<file path=xl/ctrlProps/ctrlProp30.xml><?xml version="1.0" encoding="utf-8"?>
<formControlPr xmlns="http://schemas.microsoft.com/office/spreadsheetml/2009/9/main" objectType="CheckBox" fmlaLink="SUMMARY!$B36" lockText="1" noThreeD="1"/>
</file>

<file path=xl/ctrlProps/ctrlProp4.xml><?xml version="1.0" encoding="utf-8"?>
<formControlPr xmlns="http://schemas.microsoft.com/office/spreadsheetml/2009/9/main" objectType="CheckBox" checked="Checked" fmlaLink="SUMMARY!$B10" lockText="1" noThreeD="1"/>
</file>

<file path=xl/ctrlProps/ctrlProp5.xml><?xml version="1.0" encoding="utf-8"?>
<formControlPr xmlns="http://schemas.microsoft.com/office/spreadsheetml/2009/9/main" objectType="CheckBox" checked="Checked" fmlaLink="SUMMARY!$B11" lockText="1" noThreeD="1"/>
</file>

<file path=xl/ctrlProps/ctrlProp6.xml><?xml version="1.0" encoding="utf-8"?>
<formControlPr xmlns="http://schemas.microsoft.com/office/spreadsheetml/2009/9/main" objectType="CheckBox" checked="Checked" fmlaLink="SUMMARY!$B12" lockText="1" noThreeD="1"/>
</file>

<file path=xl/ctrlProps/ctrlProp7.xml><?xml version="1.0" encoding="utf-8"?>
<formControlPr xmlns="http://schemas.microsoft.com/office/spreadsheetml/2009/9/main" objectType="CheckBox" checked="Checked" fmlaLink="SUMMARY!$B13" lockText="1" noThreeD="1"/>
</file>

<file path=xl/ctrlProps/ctrlProp8.xml><?xml version="1.0" encoding="utf-8"?>
<formControlPr xmlns="http://schemas.microsoft.com/office/spreadsheetml/2009/9/main" objectType="CheckBox" checked="Checked" fmlaLink="SUMMARY!$B14" lockText="1" noThreeD="1"/>
</file>

<file path=xl/ctrlProps/ctrlProp9.xml><?xml version="1.0" encoding="utf-8"?>
<formControlPr xmlns="http://schemas.microsoft.com/office/spreadsheetml/2009/9/main" objectType="CheckBox" checked="Checked" fmlaLink="SUMMARY!$B15" lockText="1" noThreeD="1"/>
</file>

<file path=xl/drawings/_rels/drawing1.xml.rels><?xml version="1.0" encoding="UTF-8" standalone="yes"?>
<Relationships xmlns="http://schemas.openxmlformats.org/package/2006/relationships"><Relationship Id="rId8" Type="http://schemas.openxmlformats.org/officeDocument/2006/relationships/hyperlink" Target="#'Model characteristics'!A1"/><Relationship Id="rId3" Type="http://schemas.openxmlformats.org/officeDocument/2006/relationships/hyperlink" Target="https://journals.plos.org/plosmedicine/article/file?id=10.1371/journal.pmed.1001744&amp;type=printable" TargetMode="External"/><Relationship Id="rId7" Type="http://schemas.openxmlformats.org/officeDocument/2006/relationships/hyperlink" Target="#'Study Characteristics'!A1"/><Relationship Id="rId2" Type="http://schemas.openxmlformats.org/officeDocument/2006/relationships/image" Target="../media/image1.jpg"/><Relationship Id="rId1" Type="http://schemas.openxmlformats.org/officeDocument/2006/relationships/hyperlink" Target="#'3. Predictor factors'!A1"/><Relationship Id="rId6" Type="http://schemas.openxmlformats.org/officeDocument/2006/relationships/hyperlink" Target="#PROBAST!A1"/><Relationship Id="rId11" Type="http://schemas.openxmlformats.org/officeDocument/2006/relationships/hyperlink" Target="#SUMMARY!A1"/><Relationship Id="rId5" Type="http://schemas.openxmlformats.org/officeDocument/2006/relationships/hyperlink" Target="https://www.probast.org/" TargetMode="External"/><Relationship Id="rId10" Type="http://schemas.openxmlformats.org/officeDocument/2006/relationships/image" Target="../media/image2.jpg"/><Relationship Id="rId4" Type="http://schemas.openxmlformats.org/officeDocument/2006/relationships/hyperlink" Target="#CHARMS!A1"/><Relationship Id="rId9" Type="http://schemas.openxmlformats.org/officeDocument/2006/relationships/hyperlink" Target="#'PROBAST summary'!A1"/></Relationships>
</file>

<file path=xl/drawings/_rels/drawing2.xml.rels><?xml version="1.0" encoding="UTF-8" standalone="yes"?>
<Relationships xmlns="http://schemas.openxmlformats.org/package/2006/relationships"><Relationship Id="rId8" Type="http://schemas.openxmlformats.org/officeDocument/2006/relationships/hyperlink" Target="#'Table 3. Summary PROBAST'!A1"/><Relationship Id="rId3" Type="http://schemas.openxmlformats.org/officeDocument/2006/relationships/hyperlink" Target="#HOME!A1"/><Relationship Id="rId7" Type="http://schemas.openxmlformats.org/officeDocument/2006/relationships/hyperlink" Target="#'Table 2. Model characteristics'!A1"/><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hyperlink" Target="#'Table 1. Study Characteristics'!A1"/><Relationship Id="rId5" Type="http://schemas.openxmlformats.org/officeDocument/2006/relationships/hyperlink" Target="#PROBAST!A1"/><Relationship Id="rId4" Type="http://schemas.openxmlformats.org/officeDocument/2006/relationships/hyperlink" Target="#CHARMS!A1"/></Relationships>
</file>

<file path=xl/drawings/_rels/drawing3.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3" Type="http://schemas.openxmlformats.org/officeDocument/2006/relationships/hyperlink" Target="#Resumen!A1"/><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hyperlink" Target="#SUMMARY!A1"/><Relationship Id="rId4"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xdr:from>
      <xdr:col>2</xdr:col>
      <xdr:colOff>1333500</xdr:colOff>
      <xdr:row>39</xdr:row>
      <xdr:rowOff>109538</xdr:rowOff>
    </xdr:from>
    <xdr:to>
      <xdr:col>2</xdr:col>
      <xdr:colOff>2845500</xdr:colOff>
      <xdr:row>40</xdr:row>
      <xdr:rowOff>125513</xdr:rowOff>
    </xdr:to>
    <xdr:sp macro="" textlink="">
      <xdr:nvSpPr>
        <xdr:cNvPr id="7" name="Rectángulo: esquinas redondeadas 6">
          <a:hlinkClick xmlns:r="http://schemas.openxmlformats.org/officeDocument/2006/relationships" r:id="rId1"/>
          <a:extLst>
            <a:ext uri="{FF2B5EF4-FFF2-40B4-BE49-F238E27FC236}">
              <a16:creationId xmlns:a16="http://schemas.microsoft.com/office/drawing/2014/main" id="{00000000-0008-0000-0000-000007000000}"/>
            </a:ext>
          </a:extLst>
        </xdr:cNvPr>
        <xdr:cNvSpPr/>
      </xdr:nvSpPr>
      <xdr:spPr>
        <a:xfrm>
          <a:off x="3724275" y="4586288"/>
          <a:ext cx="1512000" cy="216000"/>
        </a:xfrm>
        <a:prstGeom prst="roundRect">
          <a:avLst/>
        </a:prstGeom>
        <a:solidFill>
          <a:schemeClr val="accent6">
            <a:lumMod val="50000"/>
          </a:schemeClr>
        </a:solidFill>
        <a:ln>
          <a:solidFill>
            <a:schemeClr val="accent6">
              <a:lumMod val="50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t>Predictor Factors</a:t>
          </a:r>
        </a:p>
      </xdr:txBody>
    </xdr:sp>
    <xdr:clientData/>
  </xdr:twoCellAnchor>
  <xdr:twoCellAnchor>
    <xdr:from>
      <xdr:col>8</xdr:col>
      <xdr:colOff>411480</xdr:colOff>
      <xdr:row>3</xdr:row>
      <xdr:rowOff>116205</xdr:rowOff>
    </xdr:from>
    <xdr:to>
      <xdr:col>9</xdr:col>
      <xdr:colOff>904239</xdr:colOff>
      <xdr:row>6</xdr:row>
      <xdr:rowOff>65070</xdr:rowOff>
    </xdr:to>
    <xdr:pic>
      <xdr:nvPicPr>
        <xdr:cNvPr id="38" name="Imagen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707630" y="859155"/>
          <a:ext cx="1673859" cy="634665"/>
        </a:xfrm>
        <a:prstGeom prst="rect">
          <a:avLst/>
        </a:prstGeom>
      </xdr:spPr>
    </xdr:pic>
    <xdr:clientData/>
  </xdr:twoCellAnchor>
  <xdr:twoCellAnchor editAs="oneCell">
    <xdr:from>
      <xdr:col>1</xdr:col>
      <xdr:colOff>68579</xdr:colOff>
      <xdr:row>28</xdr:row>
      <xdr:rowOff>49824</xdr:rowOff>
    </xdr:from>
    <xdr:to>
      <xdr:col>1</xdr:col>
      <xdr:colOff>1148579</xdr:colOff>
      <xdr:row>28</xdr:row>
      <xdr:rowOff>265824</xdr:rowOff>
    </xdr:to>
    <xdr:sp macro="" textlink="">
      <xdr:nvSpPr>
        <xdr:cNvPr id="39" name="Rectángulo: esquinas redondeadas 38">
          <a:hlinkClick xmlns:r="http://schemas.openxmlformats.org/officeDocument/2006/relationships" r:id="rId3"/>
          <a:extLst>
            <a:ext uri="{FF2B5EF4-FFF2-40B4-BE49-F238E27FC236}">
              <a16:creationId xmlns:a16="http://schemas.microsoft.com/office/drawing/2014/main" id="{00000000-0008-0000-0000-000027000000}"/>
            </a:ext>
          </a:extLst>
        </xdr:cNvPr>
        <xdr:cNvSpPr/>
      </xdr:nvSpPr>
      <xdr:spPr>
        <a:xfrm>
          <a:off x="249554" y="5707674"/>
          <a:ext cx="1080000" cy="216000"/>
        </a:xfrm>
        <a:prstGeom prst="roundRect">
          <a:avLst/>
        </a:prstGeom>
        <a:solidFill>
          <a:schemeClr val="accent1">
            <a:lumMod val="50000"/>
          </a:schemeClr>
        </a:solidFill>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900" b="1"/>
            <a:t>CHARMS</a:t>
          </a:r>
          <a:r>
            <a:rPr lang="es-ES" sz="800" b="1"/>
            <a:t> paper</a:t>
          </a:r>
        </a:p>
      </xdr:txBody>
    </xdr:sp>
    <xdr:clientData/>
  </xdr:twoCellAnchor>
  <xdr:twoCellAnchor editAs="oneCell">
    <xdr:from>
      <xdr:col>2</xdr:col>
      <xdr:colOff>292417</xdr:colOff>
      <xdr:row>28</xdr:row>
      <xdr:rowOff>49824</xdr:rowOff>
    </xdr:from>
    <xdr:to>
      <xdr:col>3</xdr:col>
      <xdr:colOff>156881</xdr:colOff>
      <xdr:row>28</xdr:row>
      <xdr:rowOff>265824</xdr:rowOff>
    </xdr:to>
    <xdr:sp macro="" textlink="">
      <xdr:nvSpPr>
        <xdr:cNvPr id="40" name="Rectángulo: esquinas redondeadas 39">
          <a:hlinkClick xmlns:r="http://schemas.openxmlformats.org/officeDocument/2006/relationships" r:id="rId4"/>
          <a:extLst>
            <a:ext uri="{FF2B5EF4-FFF2-40B4-BE49-F238E27FC236}">
              <a16:creationId xmlns:a16="http://schemas.microsoft.com/office/drawing/2014/main" id="{00000000-0008-0000-0000-000028000000}"/>
            </a:ext>
          </a:extLst>
        </xdr:cNvPr>
        <xdr:cNvSpPr/>
      </xdr:nvSpPr>
      <xdr:spPr>
        <a:xfrm>
          <a:off x="1654492" y="5707674"/>
          <a:ext cx="1041900" cy="216000"/>
        </a:xfrm>
        <a:prstGeom prst="roundRect">
          <a:avLst/>
        </a:prstGeom>
        <a:solidFill>
          <a:schemeClr val="accent1">
            <a:lumMod val="50000"/>
          </a:schemeClr>
        </a:solidFill>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900" b="1"/>
            <a:t>CHARMS form</a:t>
          </a:r>
        </a:p>
      </xdr:txBody>
    </xdr:sp>
    <xdr:clientData/>
  </xdr:twoCellAnchor>
  <xdr:twoCellAnchor editAs="oneCell">
    <xdr:from>
      <xdr:col>1</xdr:col>
      <xdr:colOff>68579</xdr:colOff>
      <xdr:row>36</xdr:row>
      <xdr:rowOff>45280</xdr:rowOff>
    </xdr:from>
    <xdr:to>
      <xdr:col>1</xdr:col>
      <xdr:colOff>1148579</xdr:colOff>
      <xdr:row>36</xdr:row>
      <xdr:rowOff>261280</xdr:rowOff>
    </xdr:to>
    <xdr:sp macro="" textlink="">
      <xdr:nvSpPr>
        <xdr:cNvPr id="41" name="Rectángulo: esquinas redondeadas 40">
          <a:hlinkClick xmlns:r="http://schemas.openxmlformats.org/officeDocument/2006/relationships" r:id="rId5"/>
          <a:extLst>
            <a:ext uri="{FF2B5EF4-FFF2-40B4-BE49-F238E27FC236}">
              <a16:creationId xmlns:a16="http://schemas.microsoft.com/office/drawing/2014/main" id="{00000000-0008-0000-0000-000029000000}"/>
            </a:ext>
          </a:extLst>
        </xdr:cNvPr>
        <xdr:cNvSpPr/>
      </xdr:nvSpPr>
      <xdr:spPr>
        <a:xfrm>
          <a:off x="249554" y="7341430"/>
          <a:ext cx="1080000" cy="216000"/>
        </a:xfrm>
        <a:prstGeom prst="roundRect">
          <a:avLst/>
        </a:prstGeom>
        <a:solidFill>
          <a:schemeClr val="accent1">
            <a:lumMod val="50000"/>
          </a:schemeClr>
        </a:solidFill>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900" b="1"/>
            <a:t>PROBAST </a:t>
          </a:r>
          <a:r>
            <a:rPr lang="es-ES" sz="800" b="1"/>
            <a:t>paper</a:t>
          </a:r>
        </a:p>
      </xdr:txBody>
    </xdr:sp>
    <xdr:clientData/>
  </xdr:twoCellAnchor>
  <xdr:twoCellAnchor editAs="oneCell">
    <xdr:from>
      <xdr:col>2</xdr:col>
      <xdr:colOff>284797</xdr:colOff>
      <xdr:row>36</xdr:row>
      <xdr:rowOff>45280</xdr:rowOff>
    </xdr:from>
    <xdr:to>
      <xdr:col>3</xdr:col>
      <xdr:colOff>149261</xdr:colOff>
      <xdr:row>36</xdr:row>
      <xdr:rowOff>261280</xdr:rowOff>
    </xdr:to>
    <xdr:sp macro="" textlink="">
      <xdr:nvSpPr>
        <xdr:cNvPr id="42" name="Rectángulo: esquinas redondeadas 41">
          <a:hlinkClick xmlns:r="http://schemas.openxmlformats.org/officeDocument/2006/relationships" r:id="rId6"/>
          <a:extLst>
            <a:ext uri="{FF2B5EF4-FFF2-40B4-BE49-F238E27FC236}">
              <a16:creationId xmlns:a16="http://schemas.microsoft.com/office/drawing/2014/main" id="{00000000-0008-0000-0000-00002A000000}"/>
            </a:ext>
          </a:extLst>
        </xdr:cNvPr>
        <xdr:cNvSpPr/>
      </xdr:nvSpPr>
      <xdr:spPr>
        <a:xfrm>
          <a:off x="1646872" y="7341430"/>
          <a:ext cx="1041900" cy="216000"/>
        </a:xfrm>
        <a:prstGeom prst="roundRect">
          <a:avLst/>
        </a:prstGeom>
        <a:solidFill>
          <a:schemeClr val="accent1">
            <a:lumMod val="50000"/>
          </a:schemeClr>
        </a:solidFill>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900" b="1"/>
            <a:t>PROBAST form</a:t>
          </a:r>
        </a:p>
      </xdr:txBody>
    </xdr:sp>
    <xdr:clientData/>
  </xdr:twoCellAnchor>
  <xdr:twoCellAnchor editAs="oneCell">
    <xdr:from>
      <xdr:col>1</xdr:col>
      <xdr:colOff>68579</xdr:colOff>
      <xdr:row>46</xdr:row>
      <xdr:rowOff>48065</xdr:rowOff>
    </xdr:from>
    <xdr:to>
      <xdr:col>2</xdr:col>
      <xdr:colOff>3479</xdr:colOff>
      <xdr:row>46</xdr:row>
      <xdr:rowOff>264065</xdr:rowOff>
    </xdr:to>
    <xdr:sp macro="" textlink="">
      <xdr:nvSpPr>
        <xdr:cNvPr id="43" name="Rectángulo: esquinas redondeadas 42">
          <a:hlinkClick xmlns:r="http://schemas.openxmlformats.org/officeDocument/2006/relationships" r:id="rId7"/>
          <a:extLst>
            <a:ext uri="{FF2B5EF4-FFF2-40B4-BE49-F238E27FC236}">
              <a16:creationId xmlns:a16="http://schemas.microsoft.com/office/drawing/2014/main" id="{00000000-0008-0000-0000-00002B000000}"/>
            </a:ext>
          </a:extLst>
        </xdr:cNvPr>
        <xdr:cNvSpPr/>
      </xdr:nvSpPr>
      <xdr:spPr>
        <a:xfrm>
          <a:off x="249554" y="9363515"/>
          <a:ext cx="1116000" cy="216000"/>
        </a:xfrm>
        <a:prstGeom prst="roundRect">
          <a:avLst/>
        </a:prstGeom>
        <a:solidFill>
          <a:schemeClr val="accent6">
            <a:lumMod val="50000"/>
          </a:schemeClr>
        </a:solidFill>
        <a:ln>
          <a:solidFill>
            <a:schemeClr val="accent6">
              <a:lumMod val="50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800" b="1"/>
            <a:t>Study charcteristics</a:t>
          </a:r>
        </a:p>
      </xdr:txBody>
    </xdr:sp>
    <xdr:clientData/>
  </xdr:twoCellAnchor>
  <xdr:twoCellAnchor editAs="oneCell">
    <xdr:from>
      <xdr:col>2</xdr:col>
      <xdr:colOff>292417</xdr:colOff>
      <xdr:row>46</xdr:row>
      <xdr:rowOff>48065</xdr:rowOff>
    </xdr:from>
    <xdr:to>
      <xdr:col>3</xdr:col>
      <xdr:colOff>227317</xdr:colOff>
      <xdr:row>46</xdr:row>
      <xdr:rowOff>264065</xdr:rowOff>
    </xdr:to>
    <xdr:sp macro="" textlink="">
      <xdr:nvSpPr>
        <xdr:cNvPr id="44" name="Rectángulo: esquinas redondeadas 43">
          <a:hlinkClick xmlns:r="http://schemas.openxmlformats.org/officeDocument/2006/relationships" r:id="rId8"/>
          <a:extLst>
            <a:ext uri="{FF2B5EF4-FFF2-40B4-BE49-F238E27FC236}">
              <a16:creationId xmlns:a16="http://schemas.microsoft.com/office/drawing/2014/main" id="{00000000-0008-0000-0000-00002C000000}"/>
            </a:ext>
          </a:extLst>
        </xdr:cNvPr>
        <xdr:cNvSpPr/>
      </xdr:nvSpPr>
      <xdr:spPr>
        <a:xfrm>
          <a:off x="1654492" y="9363515"/>
          <a:ext cx="1116000" cy="216000"/>
        </a:xfrm>
        <a:prstGeom prst="roundRect">
          <a:avLst/>
        </a:prstGeom>
        <a:solidFill>
          <a:schemeClr val="accent6">
            <a:lumMod val="50000"/>
          </a:schemeClr>
        </a:solidFill>
        <a:ln>
          <a:solidFill>
            <a:schemeClr val="accent6">
              <a:lumMod val="50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800" b="1"/>
            <a:t>Model characteristics</a:t>
          </a:r>
        </a:p>
      </xdr:txBody>
    </xdr:sp>
    <xdr:clientData/>
  </xdr:twoCellAnchor>
  <xdr:twoCellAnchor editAs="oneCell">
    <xdr:from>
      <xdr:col>3</xdr:col>
      <xdr:colOff>544830</xdr:colOff>
      <xdr:row>46</xdr:row>
      <xdr:rowOff>48065</xdr:rowOff>
    </xdr:from>
    <xdr:to>
      <xdr:col>4</xdr:col>
      <xdr:colOff>407095</xdr:colOff>
      <xdr:row>46</xdr:row>
      <xdr:rowOff>264065</xdr:rowOff>
    </xdr:to>
    <xdr:sp macro="" textlink="">
      <xdr:nvSpPr>
        <xdr:cNvPr id="45" name="Rectángulo: esquinas redondeadas 44">
          <a:hlinkClick xmlns:r="http://schemas.openxmlformats.org/officeDocument/2006/relationships" r:id="rId9"/>
          <a:extLst>
            <a:ext uri="{FF2B5EF4-FFF2-40B4-BE49-F238E27FC236}">
              <a16:creationId xmlns:a16="http://schemas.microsoft.com/office/drawing/2014/main" id="{00000000-0008-0000-0000-00002D000000}"/>
            </a:ext>
          </a:extLst>
        </xdr:cNvPr>
        <xdr:cNvSpPr/>
      </xdr:nvSpPr>
      <xdr:spPr>
        <a:xfrm>
          <a:off x="3088005" y="9363515"/>
          <a:ext cx="1041900" cy="216000"/>
        </a:xfrm>
        <a:prstGeom prst="roundRect">
          <a:avLst/>
        </a:prstGeom>
        <a:solidFill>
          <a:schemeClr val="accent6">
            <a:lumMod val="50000"/>
          </a:schemeClr>
        </a:solidFill>
        <a:ln>
          <a:solidFill>
            <a:schemeClr val="accent6">
              <a:lumMod val="50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800" b="1"/>
            <a:t>PROBAST summary</a:t>
          </a:r>
        </a:p>
      </xdr:txBody>
    </xdr:sp>
    <xdr:clientData/>
  </xdr:twoCellAnchor>
  <xdr:twoCellAnchor>
    <xdr:from>
      <xdr:col>10</xdr:col>
      <xdr:colOff>144780</xdr:colOff>
      <xdr:row>3</xdr:row>
      <xdr:rowOff>121920</xdr:rowOff>
    </xdr:from>
    <xdr:to>
      <xdr:col>11</xdr:col>
      <xdr:colOff>1080744</xdr:colOff>
      <xdr:row>6</xdr:row>
      <xdr:rowOff>67880</xdr:rowOff>
    </xdr:to>
    <xdr:pic>
      <xdr:nvPicPr>
        <xdr:cNvPr id="46" name="Imagen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9803130" y="864870"/>
          <a:ext cx="2117064" cy="631760"/>
        </a:xfrm>
        <a:prstGeom prst="rect">
          <a:avLst/>
        </a:prstGeom>
      </xdr:spPr>
    </xdr:pic>
    <xdr:clientData/>
  </xdr:twoCellAnchor>
  <xdr:twoCellAnchor editAs="oneCell">
    <xdr:from>
      <xdr:col>1</xdr:col>
      <xdr:colOff>68580</xdr:colOff>
      <xdr:row>22</xdr:row>
      <xdr:rowOff>45720</xdr:rowOff>
    </xdr:from>
    <xdr:to>
      <xdr:col>1</xdr:col>
      <xdr:colOff>1148580</xdr:colOff>
      <xdr:row>22</xdr:row>
      <xdr:rowOff>261720</xdr:rowOff>
    </xdr:to>
    <xdr:sp macro="" textlink="">
      <xdr:nvSpPr>
        <xdr:cNvPr id="47" name="Rectángulo: esquinas redondeadas 46">
          <a:hlinkClick xmlns:r="http://schemas.openxmlformats.org/officeDocument/2006/relationships" r:id="rId11"/>
          <a:extLst>
            <a:ext uri="{FF2B5EF4-FFF2-40B4-BE49-F238E27FC236}">
              <a16:creationId xmlns:a16="http://schemas.microsoft.com/office/drawing/2014/main" id="{00000000-0008-0000-0000-00002F000000}"/>
            </a:ext>
          </a:extLst>
        </xdr:cNvPr>
        <xdr:cNvSpPr/>
      </xdr:nvSpPr>
      <xdr:spPr>
        <a:xfrm>
          <a:off x="249555" y="4446270"/>
          <a:ext cx="1080000" cy="216000"/>
        </a:xfrm>
        <a:prstGeom prst="roundRect">
          <a:avLst/>
        </a:prstGeom>
        <a:solidFill>
          <a:schemeClr val="tx1"/>
        </a:solidFill>
        <a:ln>
          <a:solidFill>
            <a:schemeClr val="accent6">
              <a:lumMod val="50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t>Summary</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0</xdr:colOff>
          <xdr:row>7</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0</xdr:colOff>
          <xdr:row>8</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2</xdr:col>
          <xdr:colOff>0</xdr:colOff>
          <xdr:row>9</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2</xdr:col>
          <xdr:colOff>0</xdr:colOff>
          <xdr:row>10</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0</xdr:colOff>
          <xdr:row>11</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0</xdr:colOff>
          <xdr:row>12</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0</xdr:colOff>
          <xdr:row>13</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0</xdr:colOff>
          <xdr:row>14</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0</xdr:colOff>
          <xdr:row>15</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0</xdr:colOff>
          <xdr:row>16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0</xdr:colOff>
          <xdr:row>17</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0</xdr:colOff>
          <xdr:row>18</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0</xdr:colOff>
          <xdr:row>19</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0</xdr:colOff>
          <xdr:row>20</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0</xdr:colOff>
          <xdr:row>21</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0</xdr:colOff>
          <xdr:row>22</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0</xdr:colOff>
          <xdr:row>23</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0</xdr:colOff>
          <xdr:row>24</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0</xdr:colOff>
          <xdr:row>25</xdr:row>
          <xdr:rowOff>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0</xdr:colOff>
          <xdr:row>26</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0</xdr:colOff>
          <xdr:row>27</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0</xdr:colOff>
          <xdr:row>28</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0</xdr:colOff>
          <xdr:row>29</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0</xdr:colOff>
          <xdr:row>30</xdr:row>
          <xdr:rowOff>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0</xdr:colOff>
          <xdr:row>31</xdr:row>
          <xdr:rowOff>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0</xdr:colOff>
          <xdr:row>32</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0</xdr:colOff>
          <xdr:row>33</xdr:row>
          <xdr:rowOff>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0</xdr:colOff>
          <xdr:row>34</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0</xdr:colOff>
          <xdr:row>35</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0</xdr:colOff>
          <xdr:row>36</xdr:row>
          <xdr:rowOff>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647700</xdr:colOff>
      <xdr:row>0</xdr:row>
      <xdr:rowOff>0</xdr:rowOff>
    </xdr:from>
    <xdr:to>
      <xdr:col>8</xdr:col>
      <xdr:colOff>624204</xdr:colOff>
      <xdr:row>2</xdr:row>
      <xdr:rowOff>28875</xdr:rowOff>
    </xdr:to>
    <xdr:pic>
      <xdr:nvPicPr>
        <xdr:cNvPr id="35" name="Imagen 34">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29650" y="0"/>
          <a:ext cx="1643379" cy="648000"/>
        </a:xfrm>
        <a:prstGeom prst="rect">
          <a:avLst/>
        </a:prstGeom>
      </xdr:spPr>
    </xdr:pic>
    <xdr:clientData/>
  </xdr:twoCellAnchor>
  <xdr:twoCellAnchor editAs="oneCell">
    <xdr:from>
      <xdr:col>8</xdr:col>
      <xdr:colOff>876297</xdr:colOff>
      <xdr:row>0</xdr:row>
      <xdr:rowOff>1818</xdr:rowOff>
    </xdr:from>
    <xdr:to>
      <xdr:col>10</xdr:col>
      <xdr:colOff>528291</xdr:colOff>
      <xdr:row>2</xdr:row>
      <xdr:rowOff>27056</xdr:rowOff>
    </xdr:to>
    <xdr:pic>
      <xdr:nvPicPr>
        <xdr:cNvPr id="36" name="Imagen 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286997" y="1818"/>
          <a:ext cx="2109444" cy="644363"/>
        </a:xfrm>
        <a:prstGeom prst="rect">
          <a:avLst/>
        </a:prstGeom>
      </xdr:spPr>
    </xdr:pic>
    <xdr:clientData/>
  </xdr:twoCellAnchor>
  <xdr:twoCellAnchor>
    <xdr:from>
      <xdr:col>0</xdr:col>
      <xdr:colOff>142875</xdr:colOff>
      <xdr:row>0</xdr:row>
      <xdr:rowOff>104775</xdr:rowOff>
    </xdr:from>
    <xdr:to>
      <xdr:col>2</xdr:col>
      <xdr:colOff>374025</xdr:colOff>
      <xdr:row>1</xdr:row>
      <xdr:rowOff>82650</xdr:rowOff>
    </xdr:to>
    <xdr:sp macro="" textlink="">
      <xdr:nvSpPr>
        <xdr:cNvPr id="39" name="Rectángulo: esquinas redondeadas 38">
          <a:hlinkClick xmlns:r="http://schemas.openxmlformats.org/officeDocument/2006/relationships" r:id="rId3"/>
          <a:extLst>
            <a:ext uri="{FF2B5EF4-FFF2-40B4-BE49-F238E27FC236}">
              <a16:creationId xmlns:a16="http://schemas.microsoft.com/office/drawing/2014/main" id="{00000000-0008-0000-0100-000027000000}"/>
            </a:ext>
          </a:extLst>
        </xdr:cNvPr>
        <xdr:cNvSpPr/>
      </xdr:nvSpPr>
      <xdr:spPr>
        <a:xfrm>
          <a:off x="142875"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Home</a:t>
          </a:r>
        </a:p>
      </xdr:txBody>
    </xdr:sp>
    <xdr:clientData/>
  </xdr:twoCellAnchor>
  <xdr:twoCellAnchor>
    <xdr:from>
      <xdr:col>2</xdr:col>
      <xdr:colOff>485775</xdr:colOff>
      <xdr:row>0</xdr:row>
      <xdr:rowOff>104775</xdr:rowOff>
    </xdr:from>
    <xdr:to>
      <xdr:col>3</xdr:col>
      <xdr:colOff>812175</xdr:colOff>
      <xdr:row>1</xdr:row>
      <xdr:rowOff>82650</xdr:rowOff>
    </xdr:to>
    <xdr:sp macro="" textlink="">
      <xdr:nvSpPr>
        <xdr:cNvPr id="41" name="Rectángulo: esquinas redondeadas 40">
          <a:hlinkClick xmlns:r="http://schemas.openxmlformats.org/officeDocument/2006/relationships" r:id="rId4"/>
          <a:extLst>
            <a:ext uri="{FF2B5EF4-FFF2-40B4-BE49-F238E27FC236}">
              <a16:creationId xmlns:a16="http://schemas.microsoft.com/office/drawing/2014/main" id="{00000000-0008-0000-0100-000029000000}"/>
            </a:ext>
          </a:extLst>
        </xdr:cNvPr>
        <xdr:cNvSpPr/>
      </xdr:nvSpPr>
      <xdr:spPr>
        <a:xfrm>
          <a:off x="1190625" y="104775"/>
          <a:ext cx="936000" cy="216000"/>
        </a:xfrm>
        <a:prstGeom prst="roundRect">
          <a:avLst/>
        </a:prstGeom>
        <a:solidFill>
          <a:schemeClr val="accent1">
            <a:lumMod val="50000"/>
          </a:schemeClr>
        </a:solidFill>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900" b="1"/>
            <a:t>CHARMS form</a:t>
          </a:r>
        </a:p>
      </xdr:txBody>
    </xdr:sp>
    <xdr:clientData/>
  </xdr:twoCellAnchor>
  <xdr:twoCellAnchor>
    <xdr:from>
      <xdr:col>3</xdr:col>
      <xdr:colOff>923925</xdr:colOff>
      <xdr:row>0</xdr:row>
      <xdr:rowOff>104775</xdr:rowOff>
    </xdr:from>
    <xdr:to>
      <xdr:col>4</xdr:col>
      <xdr:colOff>431175</xdr:colOff>
      <xdr:row>1</xdr:row>
      <xdr:rowOff>82650</xdr:rowOff>
    </xdr:to>
    <xdr:sp macro="" textlink="">
      <xdr:nvSpPr>
        <xdr:cNvPr id="42" name="Rectángulo: esquinas redondeadas 41">
          <a:hlinkClick xmlns:r="http://schemas.openxmlformats.org/officeDocument/2006/relationships" r:id="rId5"/>
          <a:extLst>
            <a:ext uri="{FF2B5EF4-FFF2-40B4-BE49-F238E27FC236}">
              <a16:creationId xmlns:a16="http://schemas.microsoft.com/office/drawing/2014/main" id="{00000000-0008-0000-0100-00002A000000}"/>
            </a:ext>
          </a:extLst>
        </xdr:cNvPr>
        <xdr:cNvSpPr/>
      </xdr:nvSpPr>
      <xdr:spPr>
        <a:xfrm>
          <a:off x="2238375" y="104775"/>
          <a:ext cx="936000" cy="216000"/>
        </a:xfrm>
        <a:prstGeom prst="roundRect">
          <a:avLst/>
        </a:prstGeom>
        <a:solidFill>
          <a:schemeClr val="accent1">
            <a:lumMod val="50000"/>
          </a:schemeClr>
        </a:solidFill>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900" b="1"/>
            <a:t>PROBAST form</a:t>
          </a:r>
        </a:p>
      </xdr:txBody>
    </xdr:sp>
    <xdr:clientData/>
  </xdr:twoCellAnchor>
  <xdr:twoCellAnchor>
    <xdr:from>
      <xdr:col>4</xdr:col>
      <xdr:colOff>552450</xdr:colOff>
      <xdr:row>0</xdr:row>
      <xdr:rowOff>104775</xdr:rowOff>
    </xdr:from>
    <xdr:to>
      <xdr:col>5</xdr:col>
      <xdr:colOff>533752</xdr:colOff>
      <xdr:row>1</xdr:row>
      <xdr:rowOff>82650</xdr:rowOff>
    </xdr:to>
    <xdr:sp macro="" textlink="">
      <xdr:nvSpPr>
        <xdr:cNvPr id="37" name="Rectángulo: esquinas redondeadas 36">
          <a:hlinkClick xmlns:r="http://schemas.openxmlformats.org/officeDocument/2006/relationships" r:id="rId6"/>
          <a:extLst>
            <a:ext uri="{FF2B5EF4-FFF2-40B4-BE49-F238E27FC236}">
              <a16:creationId xmlns:a16="http://schemas.microsoft.com/office/drawing/2014/main" id="{00000000-0008-0000-0100-000025000000}"/>
            </a:ext>
          </a:extLst>
        </xdr:cNvPr>
        <xdr:cNvSpPr/>
      </xdr:nvSpPr>
      <xdr:spPr>
        <a:xfrm>
          <a:off x="3295650" y="104775"/>
          <a:ext cx="933802" cy="216000"/>
        </a:xfrm>
        <a:prstGeom prst="roundRect">
          <a:avLst/>
        </a:prstGeom>
        <a:solidFill>
          <a:schemeClr val="accent6">
            <a:lumMod val="50000"/>
          </a:schemeClr>
        </a:solidFill>
        <a:ln>
          <a:solidFill>
            <a:schemeClr val="accent6">
              <a:lumMod val="50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t>Table</a:t>
          </a:r>
          <a:r>
            <a:rPr lang="es-ES" sz="1100" b="1" baseline="0"/>
            <a:t> 1</a:t>
          </a:r>
          <a:endParaRPr lang="es-ES" sz="1100" b="1"/>
        </a:p>
      </xdr:txBody>
    </xdr:sp>
    <xdr:clientData/>
  </xdr:twoCellAnchor>
  <xdr:twoCellAnchor>
    <xdr:from>
      <xdr:col>5</xdr:col>
      <xdr:colOff>612164</xdr:colOff>
      <xdr:row>0</xdr:row>
      <xdr:rowOff>104775</xdr:rowOff>
    </xdr:from>
    <xdr:to>
      <xdr:col>5</xdr:col>
      <xdr:colOff>1548164</xdr:colOff>
      <xdr:row>1</xdr:row>
      <xdr:rowOff>82650</xdr:rowOff>
    </xdr:to>
    <xdr:sp macro="" textlink="">
      <xdr:nvSpPr>
        <xdr:cNvPr id="38" name="Rectángulo: esquinas redondeadas 37">
          <a:hlinkClick xmlns:r="http://schemas.openxmlformats.org/officeDocument/2006/relationships" r:id="rId7"/>
          <a:extLst>
            <a:ext uri="{FF2B5EF4-FFF2-40B4-BE49-F238E27FC236}">
              <a16:creationId xmlns:a16="http://schemas.microsoft.com/office/drawing/2014/main" id="{00000000-0008-0000-0100-000026000000}"/>
            </a:ext>
          </a:extLst>
        </xdr:cNvPr>
        <xdr:cNvSpPr/>
      </xdr:nvSpPr>
      <xdr:spPr>
        <a:xfrm>
          <a:off x="4307864" y="104775"/>
          <a:ext cx="936000" cy="216000"/>
        </a:xfrm>
        <a:prstGeom prst="roundRect">
          <a:avLst/>
        </a:prstGeom>
        <a:solidFill>
          <a:schemeClr val="accent6">
            <a:lumMod val="50000"/>
          </a:schemeClr>
        </a:solidFill>
        <a:ln>
          <a:solidFill>
            <a:schemeClr val="accent6">
              <a:lumMod val="50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t>Table</a:t>
          </a:r>
          <a:r>
            <a:rPr lang="es-ES" sz="1100" b="1" baseline="0"/>
            <a:t> 2</a:t>
          </a:r>
          <a:endParaRPr lang="es-ES" sz="1100" b="1"/>
        </a:p>
      </xdr:txBody>
    </xdr:sp>
    <xdr:clientData/>
  </xdr:twoCellAnchor>
  <xdr:twoCellAnchor>
    <xdr:from>
      <xdr:col>5</xdr:col>
      <xdr:colOff>1626577</xdr:colOff>
      <xdr:row>0</xdr:row>
      <xdr:rowOff>104775</xdr:rowOff>
    </xdr:from>
    <xdr:to>
      <xdr:col>5</xdr:col>
      <xdr:colOff>2562577</xdr:colOff>
      <xdr:row>1</xdr:row>
      <xdr:rowOff>82650</xdr:rowOff>
    </xdr:to>
    <xdr:sp macro="" textlink="">
      <xdr:nvSpPr>
        <xdr:cNvPr id="40" name="Rectángulo: esquinas redondeadas 39">
          <a:hlinkClick xmlns:r="http://schemas.openxmlformats.org/officeDocument/2006/relationships" r:id="rId8"/>
          <a:extLst>
            <a:ext uri="{FF2B5EF4-FFF2-40B4-BE49-F238E27FC236}">
              <a16:creationId xmlns:a16="http://schemas.microsoft.com/office/drawing/2014/main" id="{00000000-0008-0000-0100-000028000000}"/>
            </a:ext>
          </a:extLst>
        </xdr:cNvPr>
        <xdr:cNvSpPr/>
      </xdr:nvSpPr>
      <xdr:spPr>
        <a:xfrm>
          <a:off x="5322277" y="104775"/>
          <a:ext cx="936000" cy="216000"/>
        </a:xfrm>
        <a:prstGeom prst="roundRect">
          <a:avLst/>
        </a:prstGeom>
        <a:solidFill>
          <a:schemeClr val="accent6">
            <a:lumMod val="50000"/>
          </a:schemeClr>
        </a:solidFill>
        <a:ln>
          <a:solidFill>
            <a:schemeClr val="accent6">
              <a:lumMod val="50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t>Table</a:t>
          </a:r>
          <a:r>
            <a:rPr lang="es-ES" sz="1100" b="1" baseline="0"/>
            <a:t> 3</a:t>
          </a:r>
          <a:endParaRPr lang="es-ES" sz="11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152400</xdr:colOff>
      <xdr:row>0</xdr:row>
      <xdr:rowOff>104775</xdr:rowOff>
    </xdr:from>
    <xdr:to>
      <xdr:col>3</xdr:col>
      <xdr:colOff>88275</xdr:colOff>
      <xdr:row>1</xdr:row>
      <xdr:rowOff>130275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152400"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Home</a:t>
          </a:r>
        </a:p>
      </xdr:txBody>
    </xdr:sp>
    <xdr:clientData/>
  </xdr:twoCellAnchor>
  <xdr:twoCellAnchor>
    <xdr:from>
      <xdr:col>3</xdr:col>
      <xdr:colOff>200025</xdr:colOff>
      <xdr:row>0</xdr:row>
      <xdr:rowOff>104775</xdr:rowOff>
    </xdr:from>
    <xdr:to>
      <xdr:col>3</xdr:col>
      <xdr:colOff>1136025</xdr:colOff>
      <xdr:row>1</xdr:row>
      <xdr:rowOff>130275</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a:xfrm>
          <a:off x="1200150"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Summary</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133350</xdr:colOff>
      <xdr:row>0</xdr:row>
      <xdr:rowOff>104775</xdr:rowOff>
    </xdr:from>
    <xdr:to>
      <xdr:col>0</xdr:col>
      <xdr:colOff>1069350</xdr:colOff>
      <xdr:row>1</xdr:row>
      <xdr:rowOff>130275</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133350"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Home</a:t>
          </a:r>
        </a:p>
      </xdr:txBody>
    </xdr:sp>
    <xdr:clientData/>
  </xdr:twoCellAnchor>
  <xdr:twoCellAnchor>
    <xdr:from>
      <xdr:col>0</xdr:col>
      <xdr:colOff>1181100</xdr:colOff>
      <xdr:row>0</xdr:row>
      <xdr:rowOff>104775</xdr:rowOff>
    </xdr:from>
    <xdr:to>
      <xdr:col>0</xdr:col>
      <xdr:colOff>2117100</xdr:colOff>
      <xdr:row>1</xdr:row>
      <xdr:rowOff>130275</xdr:rowOff>
    </xdr:to>
    <xdr:sp macro="" textlink="">
      <xdr:nvSpPr>
        <xdr:cNvPr id="6" name="Rectángulo: esquinas redondeadas 5">
          <a:hlinkClick xmlns:r="http://schemas.openxmlformats.org/officeDocument/2006/relationships" r:id="rId2"/>
          <a:extLst>
            <a:ext uri="{FF2B5EF4-FFF2-40B4-BE49-F238E27FC236}">
              <a16:creationId xmlns:a16="http://schemas.microsoft.com/office/drawing/2014/main" id="{00000000-0008-0000-0300-000006000000}"/>
            </a:ext>
          </a:extLst>
        </xdr:cNvPr>
        <xdr:cNvSpPr/>
      </xdr:nvSpPr>
      <xdr:spPr>
        <a:xfrm>
          <a:off x="1181100"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Summary</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142875</xdr:colOff>
      <xdr:row>0</xdr:row>
      <xdr:rowOff>104775</xdr:rowOff>
    </xdr:from>
    <xdr:to>
      <xdr:col>1</xdr:col>
      <xdr:colOff>1078875</xdr:colOff>
      <xdr:row>1</xdr:row>
      <xdr:rowOff>130275</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142875"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Home</a:t>
          </a:r>
        </a:p>
      </xdr:txBody>
    </xdr:sp>
    <xdr:clientData/>
  </xdr:twoCellAnchor>
  <xdr:twoCellAnchor>
    <xdr:from>
      <xdr:col>1</xdr:col>
      <xdr:colOff>1190625</xdr:colOff>
      <xdr:row>0</xdr:row>
      <xdr:rowOff>104775</xdr:rowOff>
    </xdr:from>
    <xdr:to>
      <xdr:col>2</xdr:col>
      <xdr:colOff>507375</xdr:colOff>
      <xdr:row>1</xdr:row>
      <xdr:rowOff>130275</xdr:rowOff>
    </xdr:to>
    <xdr:sp macro="" textlink="">
      <xdr:nvSpPr>
        <xdr:cNvPr id="6" name="Rectángulo: esquinas redondeadas 5">
          <a:hlinkClick xmlns:r="http://schemas.openxmlformats.org/officeDocument/2006/relationships" r:id="rId2"/>
          <a:extLst>
            <a:ext uri="{FF2B5EF4-FFF2-40B4-BE49-F238E27FC236}">
              <a16:creationId xmlns:a16="http://schemas.microsoft.com/office/drawing/2014/main" id="{00000000-0008-0000-0400-000006000000}"/>
            </a:ext>
          </a:extLst>
        </xdr:cNvPr>
        <xdr:cNvSpPr/>
      </xdr:nvSpPr>
      <xdr:spPr>
        <a:xfrm>
          <a:off x="1190625"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Summary</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142875</xdr:colOff>
      <xdr:row>0</xdr:row>
      <xdr:rowOff>104775</xdr:rowOff>
    </xdr:from>
    <xdr:to>
      <xdr:col>1</xdr:col>
      <xdr:colOff>1078875</xdr:colOff>
      <xdr:row>1</xdr:row>
      <xdr:rowOff>130275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42875"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Home</a:t>
          </a:r>
        </a:p>
      </xdr:txBody>
    </xdr:sp>
    <xdr:clientData/>
  </xdr:twoCellAnchor>
  <xdr:twoCellAnchor>
    <xdr:from>
      <xdr:col>1</xdr:col>
      <xdr:colOff>1190625</xdr:colOff>
      <xdr:row>0</xdr:row>
      <xdr:rowOff>104775</xdr:rowOff>
    </xdr:from>
    <xdr:to>
      <xdr:col>2</xdr:col>
      <xdr:colOff>412125</xdr:colOff>
      <xdr:row>1</xdr:row>
      <xdr:rowOff>130275</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1190625"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Summary</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0</xdr:colOff>
      <xdr:row>2</xdr:row>
      <xdr:rowOff>142875</xdr:rowOff>
    </xdr:from>
    <xdr:to>
      <xdr:col>20</xdr:col>
      <xdr:colOff>1</xdr:colOff>
      <xdr:row>27</xdr:row>
      <xdr:rowOff>161925</xdr:rowOff>
    </xdr:to>
    <xdr:grpSp>
      <xdr:nvGrpSpPr>
        <xdr:cNvPr id="2" name="Grupo 1">
          <a:extLst>
            <a:ext uri="{FF2B5EF4-FFF2-40B4-BE49-F238E27FC236}">
              <a16:creationId xmlns:a16="http://schemas.microsoft.com/office/drawing/2014/main" id="{00000000-0008-0000-0600-000002000000}"/>
            </a:ext>
          </a:extLst>
        </xdr:cNvPr>
        <xdr:cNvGrpSpPr/>
      </xdr:nvGrpSpPr>
      <xdr:grpSpPr>
        <a:xfrm>
          <a:off x="7191375" y="523875"/>
          <a:ext cx="5334001" cy="5562600"/>
          <a:chOff x="6762750" y="552450"/>
          <a:chExt cx="5334001" cy="5524500"/>
        </a:xfrm>
      </xdr:grpSpPr>
      <xdr:graphicFrame macro="">
        <xdr:nvGraphicFramePr>
          <xdr:cNvPr id="3" name="Gráfico 2">
            <a:extLst>
              <a:ext uri="{FF2B5EF4-FFF2-40B4-BE49-F238E27FC236}">
                <a16:creationId xmlns:a16="http://schemas.microsoft.com/office/drawing/2014/main" id="{00000000-0008-0000-0600-000003000000}"/>
              </a:ext>
            </a:extLst>
          </xdr:cNvPr>
          <xdr:cNvGraphicFramePr/>
        </xdr:nvGraphicFramePr>
        <xdr:xfrm>
          <a:off x="6762750" y="552450"/>
          <a:ext cx="5334000" cy="2857501"/>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0000000-0008-0000-0600-000004000000}"/>
              </a:ext>
            </a:extLst>
          </xdr:cNvPr>
          <xdr:cNvGraphicFramePr>
            <a:graphicFrameLocks/>
          </xdr:cNvGraphicFramePr>
        </xdr:nvGraphicFramePr>
        <xdr:xfrm>
          <a:off x="6762751" y="3600450"/>
          <a:ext cx="5334000" cy="247650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2</xdr:col>
      <xdr:colOff>0</xdr:colOff>
      <xdr:row>0</xdr:row>
      <xdr:rowOff>0</xdr:rowOff>
    </xdr:from>
    <xdr:to>
      <xdr:col>2</xdr:col>
      <xdr:colOff>0</xdr:colOff>
      <xdr:row>1</xdr:row>
      <xdr:rowOff>25500</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00000000-0008-0000-0600-000006000000}"/>
            </a:ext>
          </a:extLst>
        </xdr:cNvPr>
        <xdr:cNvSpPr/>
      </xdr:nvSpPr>
      <xdr:spPr>
        <a:xfrm>
          <a:off x="1552575" y="0"/>
          <a:ext cx="1440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Resumen</a:t>
          </a:r>
        </a:p>
      </xdr:txBody>
    </xdr:sp>
    <xdr:clientData/>
  </xdr:twoCellAnchor>
  <xdr:twoCellAnchor>
    <xdr:from>
      <xdr:col>1</xdr:col>
      <xdr:colOff>142875</xdr:colOff>
      <xdr:row>0</xdr:row>
      <xdr:rowOff>104775</xdr:rowOff>
    </xdr:from>
    <xdr:to>
      <xdr:col>1</xdr:col>
      <xdr:colOff>1078875</xdr:colOff>
      <xdr:row>1</xdr:row>
      <xdr:rowOff>130275</xdr:rowOff>
    </xdr:to>
    <xdr:sp macro="" textlink="">
      <xdr:nvSpPr>
        <xdr:cNvPr id="9" name="Rectángulo: esquinas redondeadas 8">
          <a:hlinkClick xmlns:r="http://schemas.openxmlformats.org/officeDocument/2006/relationships" r:id="rId4"/>
          <a:extLst>
            <a:ext uri="{FF2B5EF4-FFF2-40B4-BE49-F238E27FC236}">
              <a16:creationId xmlns:a16="http://schemas.microsoft.com/office/drawing/2014/main" id="{00000000-0008-0000-0600-000009000000}"/>
            </a:ext>
          </a:extLst>
        </xdr:cNvPr>
        <xdr:cNvSpPr/>
      </xdr:nvSpPr>
      <xdr:spPr>
        <a:xfrm>
          <a:off x="142875"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Home</a:t>
          </a:r>
        </a:p>
      </xdr:txBody>
    </xdr:sp>
    <xdr:clientData/>
  </xdr:twoCellAnchor>
  <xdr:twoCellAnchor>
    <xdr:from>
      <xdr:col>1</xdr:col>
      <xdr:colOff>1190625</xdr:colOff>
      <xdr:row>0</xdr:row>
      <xdr:rowOff>104775</xdr:rowOff>
    </xdr:from>
    <xdr:to>
      <xdr:col>3</xdr:col>
      <xdr:colOff>412125</xdr:colOff>
      <xdr:row>1</xdr:row>
      <xdr:rowOff>130275</xdr:rowOff>
    </xdr:to>
    <xdr:sp macro="" textlink="">
      <xdr:nvSpPr>
        <xdr:cNvPr id="10" name="Rectángulo: esquinas redondeadas 9">
          <a:hlinkClick xmlns:r="http://schemas.openxmlformats.org/officeDocument/2006/relationships" r:id="rId5"/>
          <a:extLst>
            <a:ext uri="{FF2B5EF4-FFF2-40B4-BE49-F238E27FC236}">
              <a16:creationId xmlns:a16="http://schemas.microsoft.com/office/drawing/2014/main" id="{00000000-0008-0000-0600-00000A000000}"/>
            </a:ext>
          </a:extLst>
        </xdr:cNvPr>
        <xdr:cNvSpPr/>
      </xdr:nvSpPr>
      <xdr:spPr>
        <a:xfrm>
          <a:off x="1190625"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Summary</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1"/>
  </sheetPr>
  <dimension ref="A1:L60"/>
  <sheetViews>
    <sheetView tabSelected="1" zoomScaleNormal="100" workbookViewId="0">
      <selection activeCell="A2" sqref="A2:L2"/>
    </sheetView>
  </sheetViews>
  <sheetFormatPr baseColWidth="10" defaultColWidth="11.42578125" defaultRowHeight="15" x14ac:dyDescent="0.25"/>
  <cols>
    <col min="1" max="1" width="2.7109375" style="3" customWidth="1"/>
    <col min="2" max="7" width="17.7109375" style="3" customWidth="1"/>
    <col min="8" max="8" width="0.42578125" style="3" customWidth="1"/>
    <col min="9" max="12" width="17.7109375" style="3" customWidth="1"/>
    <col min="13" max="16384" width="11.42578125" style="3"/>
  </cols>
  <sheetData>
    <row r="1" spans="1:12" ht="14.45" customHeight="1" x14ac:dyDescent="0.25">
      <c r="A1" s="212"/>
      <c r="B1" s="213"/>
      <c r="C1" s="213"/>
      <c r="D1" s="213"/>
      <c r="E1" s="213"/>
      <c r="F1" s="213"/>
      <c r="G1" s="213"/>
      <c r="H1" s="213"/>
      <c r="I1" s="213"/>
      <c r="J1" s="213"/>
      <c r="K1" s="213"/>
      <c r="L1" s="214"/>
    </row>
    <row r="2" spans="1:12" ht="30" customHeight="1" x14ac:dyDescent="0.25">
      <c r="A2" s="209" t="s">
        <v>0</v>
      </c>
      <c r="B2" s="210"/>
      <c r="C2" s="210"/>
      <c r="D2" s="210"/>
      <c r="E2" s="210"/>
      <c r="F2" s="210"/>
      <c r="G2" s="210"/>
      <c r="H2" s="210"/>
      <c r="I2" s="210"/>
      <c r="J2" s="210"/>
      <c r="K2" s="210"/>
      <c r="L2" s="211"/>
    </row>
    <row r="3" spans="1:12" ht="14.45" customHeight="1" thickBot="1" x14ac:dyDescent="0.3">
      <c r="A3" s="12"/>
      <c r="B3" s="193"/>
      <c r="C3" s="193"/>
      <c r="D3" s="10"/>
      <c r="E3" s="10"/>
      <c r="F3" s="10"/>
      <c r="G3" s="10"/>
      <c r="I3" s="10"/>
      <c r="J3" s="10"/>
      <c r="K3" s="10"/>
      <c r="L3" s="10"/>
    </row>
    <row r="4" spans="1:12" ht="24" customHeight="1" x14ac:dyDescent="0.25">
      <c r="A4" s="194"/>
      <c r="B4" s="215" t="s">
        <v>1</v>
      </c>
      <c r="C4" s="216"/>
      <c r="D4" s="216"/>
      <c r="E4" s="216"/>
      <c r="F4" s="216"/>
      <c r="G4" s="217"/>
      <c r="H4" s="195"/>
      <c r="I4" s="218"/>
      <c r="J4" s="219"/>
      <c r="K4" s="224"/>
      <c r="L4" s="225"/>
    </row>
    <row r="5" spans="1:12" ht="15" customHeight="1" x14ac:dyDescent="0.3">
      <c r="A5" s="196"/>
      <c r="B5" s="230" t="s">
        <v>2</v>
      </c>
      <c r="C5" s="231"/>
      <c r="D5" s="231"/>
      <c r="E5" s="231"/>
      <c r="F5" s="231"/>
      <c r="G5" s="232"/>
      <c r="H5" s="195"/>
      <c r="I5" s="220"/>
      <c r="J5" s="221"/>
      <c r="K5" s="226"/>
      <c r="L5" s="227"/>
    </row>
    <row r="6" spans="1:12" ht="15" customHeight="1" x14ac:dyDescent="0.25">
      <c r="A6" s="194"/>
      <c r="B6" s="230"/>
      <c r="C6" s="231"/>
      <c r="D6" s="231"/>
      <c r="E6" s="231"/>
      <c r="F6" s="231"/>
      <c r="G6" s="232"/>
      <c r="H6" s="195"/>
      <c r="I6" s="220"/>
      <c r="J6" s="221"/>
      <c r="K6" s="226"/>
      <c r="L6" s="227"/>
    </row>
    <row r="7" spans="1:12" ht="15" customHeight="1" thickBot="1" x14ac:dyDescent="0.3">
      <c r="A7" s="197"/>
      <c r="B7" s="230"/>
      <c r="C7" s="231"/>
      <c r="D7" s="231"/>
      <c r="E7" s="231"/>
      <c r="F7" s="231"/>
      <c r="G7" s="232"/>
      <c r="H7" s="195"/>
      <c r="I7" s="222"/>
      <c r="J7" s="223"/>
      <c r="K7" s="228"/>
      <c r="L7" s="229"/>
    </row>
    <row r="8" spans="1:12" ht="15" customHeight="1" thickBot="1" x14ac:dyDescent="0.3">
      <c r="A8" s="198"/>
      <c r="B8" s="233"/>
      <c r="C8" s="234"/>
      <c r="D8" s="234"/>
      <c r="E8" s="234"/>
      <c r="F8" s="234"/>
      <c r="G8" s="235"/>
      <c r="H8" s="195"/>
      <c r="I8" s="236" t="s">
        <v>3</v>
      </c>
      <c r="J8" s="237"/>
      <c r="K8" s="237"/>
      <c r="L8" s="238"/>
    </row>
    <row r="9" spans="1:12" ht="3" customHeight="1" thickBot="1" x14ac:dyDescent="0.3">
      <c r="A9" s="15"/>
      <c r="B9" s="11"/>
      <c r="C9" s="199"/>
      <c r="D9" s="11"/>
      <c r="E9" s="11"/>
      <c r="F9" s="11"/>
      <c r="G9" s="11"/>
      <c r="H9" s="200"/>
      <c r="I9" s="236"/>
      <c r="J9" s="237"/>
      <c r="K9" s="237"/>
      <c r="L9" s="238"/>
    </row>
    <row r="10" spans="1:12" ht="24" customHeight="1" x14ac:dyDescent="0.25">
      <c r="A10" s="15"/>
      <c r="B10" s="215" t="s">
        <v>4</v>
      </c>
      <c r="C10" s="216"/>
      <c r="D10" s="216"/>
      <c r="E10" s="216"/>
      <c r="F10" s="216"/>
      <c r="G10" s="217"/>
      <c r="H10" s="197"/>
      <c r="I10" s="236"/>
      <c r="J10" s="237"/>
      <c r="K10" s="237"/>
      <c r="L10" s="238"/>
    </row>
    <row r="11" spans="1:12" ht="15" customHeight="1" x14ac:dyDescent="0.25">
      <c r="A11" s="198"/>
      <c r="B11" s="242" t="s">
        <v>440</v>
      </c>
      <c r="C11" s="243"/>
      <c r="D11" s="243"/>
      <c r="E11" s="243"/>
      <c r="F11" s="243"/>
      <c r="G11" s="244"/>
      <c r="H11" s="201"/>
      <c r="I11" s="236"/>
      <c r="J11" s="237"/>
      <c r="K11" s="237"/>
      <c r="L11" s="238"/>
    </row>
    <row r="12" spans="1:12" ht="15" customHeight="1" x14ac:dyDescent="0.25">
      <c r="A12" s="198"/>
      <c r="B12" s="242"/>
      <c r="C12" s="243"/>
      <c r="D12" s="243"/>
      <c r="E12" s="243"/>
      <c r="F12" s="243"/>
      <c r="G12" s="244"/>
      <c r="H12" s="195"/>
      <c r="I12" s="236"/>
      <c r="J12" s="237"/>
      <c r="K12" s="237"/>
      <c r="L12" s="238"/>
    </row>
    <row r="13" spans="1:12" ht="15" customHeight="1" x14ac:dyDescent="0.25">
      <c r="A13" s="197"/>
      <c r="B13" s="242"/>
      <c r="C13" s="243"/>
      <c r="D13" s="243"/>
      <c r="E13" s="243"/>
      <c r="F13" s="243"/>
      <c r="G13" s="244"/>
      <c r="H13" s="195"/>
      <c r="I13" s="236"/>
      <c r="J13" s="237"/>
      <c r="K13" s="237"/>
      <c r="L13" s="238"/>
    </row>
    <row r="14" spans="1:12" ht="15" customHeight="1" x14ac:dyDescent="0.25">
      <c r="A14" s="198"/>
      <c r="B14" s="242"/>
      <c r="C14" s="243"/>
      <c r="D14" s="243"/>
      <c r="E14" s="243"/>
      <c r="F14" s="243"/>
      <c r="G14" s="244"/>
      <c r="H14" s="201"/>
      <c r="I14" s="236"/>
      <c r="J14" s="237"/>
      <c r="K14" s="237"/>
      <c r="L14" s="238"/>
    </row>
    <row r="15" spans="1:12" ht="15" customHeight="1" x14ac:dyDescent="0.25">
      <c r="A15" s="198"/>
      <c r="B15" s="242"/>
      <c r="C15" s="243"/>
      <c r="D15" s="243"/>
      <c r="E15" s="243"/>
      <c r="F15" s="243"/>
      <c r="G15" s="244"/>
      <c r="H15" s="202"/>
      <c r="I15" s="236"/>
      <c r="J15" s="237"/>
      <c r="K15" s="237"/>
      <c r="L15" s="238"/>
    </row>
    <row r="16" spans="1:12" ht="15" customHeight="1" x14ac:dyDescent="0.25">
      <c r="A16" s="198"/>
      <c r="B16" s="242"/>
      <c r="C16" s="243"/>
      <c r="D16" s="243"/>
      <c r="E16" s="243"/>
      <c r="F16" s="243"/>
      <c r="G16" s="244"/>
      <c r="H16" s="195"/>
      <c r="I16" s="236"/>
      <c r="J16" s="237"/>
      <c r="K16" s="237"/>
      <c r="L16" s="238"/>
    </row>
    <row r="17" spans="1:12" ht="15" customHeight="1" thickBot="1" x14ac:dyDescent="0.3">
      <c r="A17" s="197"/>
      <c r="B17" s="245"/>
      <c r="C17" s="246"/>
      <c r="D17" s="246"/>
      <c r="E17" s="246"/>
      <c r="F17" s="246"/>
      <c r="G17" s="247"/>
      <c r="H17" s="195"/>
      <c r="I17" s="239"/>
      <c r="J17" s="240"/>
      <c r="K17" s="240"/>
      <c r="L17" s="241"/>
    </row>
    <row r="18" spans="1:12" ht="3" customHeight="1" thickBot="1" x14ac:dyDescent="0.3">
      <c r="B18" s="203"/>
      <c r="C18" s="204"/>
      <c r="D18" s="203"/>
      <c r="E18" s="203"/>
      <c r="F18" s="203"/>
      <c r="G18" s="203"/>
      <c r="H18" s="10"/>
      <c r="I18" s="203"/>
      <c r="J18" s="203"/>
      <c r="K18" s="203"/>
      <c r="L18" s="203"/>
    </row>
    <row r="19" spans="1:12" ht="24" customHeight="1" x14ac:dyDescent="0.25">
      <c r="B19" s="248" t="s">
        <v>5</v>
      </c>
      <c r="C19" s="249"/>
      <c r="D19" s="249"/>
      <c r="E19" s="249"/>
      <c r="F19" s="249"/>
      <c r="G19" s="249"/>
      <c r="H19" s="249"/>
      <c r="I19" s="249"/>
      <c r="J19" s="249"/>
      <c r="K19" s="249"/>
      <c r="L19" s="250"/>
    </row>
    <row r="20" spans="1:12" ht="15" customHeight="1" x14ac:dyDescent="0.25">
      <c r="A20" s="197"/>
      <c r="B20" s="251" t="s">
        <v>6</v>
      </c>
      <c r="C20" s="252"/>
      <c r="D20" s="252"/>
      <c r="E20" s="252"/>
      <c r="F20" s="252"/>
      <c r="G20" s="252"/>
      <c r="H20" s="252"/>
      <c r="I20" s="252"/>
      <c r="J20" s="252"/>
      <c r="K20" s="252"/>
      <c r="L20" s="253"/>
    </row>
    <row r="21" spans="1:12" ht="15" customHeight="1" x14ac:dyDescent="0.25">
      <c r="A21" s="197"/>
      <c r="B21" s="254"/>
      <c r="C21" s="252"/>
      <c r="D21" s="252"/>
      <c r="E21" s="252"/>
      <c r="F21" s="252"/>
      <c r="G21" s="252"/>
      <c r="H21" s="252"/>
      <c r="I21" s="252"/>
      <c r="J21" s="252"/>
      <c r="K21" s="252"/>
      <c r="L21" s="253"/>
    </row>
    <row r="22" spans="1:12" ht="15" customHeight="1" x14ac:dyDescent="0.25">
      <c r="A22" s="197"/>
      <c r="B22" s="254"/>
      <c r="C22" s="252"/>
      <c r="D22" s="252"/>
      <c r="E22" s="252"/>
      <c r="F22" s="252"/>
      <c r="G22" s="252"/>
      <c r="H22" s="252"/>
      <c r="I22" s="252"/>
      <c r="J22" s="252"/>
      <c r="K22" s="252"/>
      <c r="L22" s="253"/>
    </row>
    <row r="23" spans="1:12" ht="24" customHeight="1" x14ac:dyDescent="0.25">
      <c r="A23" s="194"/>
      <c r="B23" s="255"/>
      <c r="C23" s="256"/>
      <c r="D23" s="256"/>
      <c r="E23" s="256"/>
      <c r="F23" s="256"/>
      <c r="G23" s="256"/>
      <c r="H23" s="256"/>
      <c r="I23" s="256"/>
      <c r="J23" s="256"/>
      <c r="K23" s="256"/>
      <c r="L23" s="257"/>
    </row>
    <row r="24" spans="1:12" ht="15" customHeight="1" x14ac:dyDescent="0.25">
      <c r="A24" s="194"/>
      <c r="B24" s="258" t="s">
        <v>7</v>
      </c>
      <c r="C24" s="259"/>
      <c r="D24" s="259"/>
      <c r="E24" s="259"/>
      <c r="F24" s="259"/>
      <c r="G24" s="259"/>
      <c r="H24" s="259"/>
      <c r="I24" s="259"/>
      <c r="J24" s="259"/>
      <c r="K24" s="259"/>
      <c r="L24" s="260"/>
    </row>
    <row r="25" spans="1:12" ht="15" customHeight="1" x14ac:dyDescent="0.25">
      <c r="A25" s="194"/>
      <c r="B25" s="258"/>
      <c r="C25" s="259"/>
      <c r="D25" s="259"/>
      <c r="E25" s="259"/>
      <c r="F25" s="259"/>
      <c r="G25" s="259"/>
      <c r="H25" s="259"/>
      <c r="I25" s="259"/>
      <c r="J25" s="259"/>
      <c r="K25" s="259"/>
      <c r="L25" s="260"/>
    </row>
    <row r="26" spans="1:12" ht="15" customHeight="1" x14ac:dyDescent="0.25">
      <c r="A26" s="194"/>
      <c r="B26" s="258"/>
      <c r="C26" s="259"/>
      <c r="D26" s="259"/>
      <c r="E26" s="259"/>
      <c r="F26" s="259"/>
      <c r="G26" s="259"/>
      <c r="H26" s="259"/>
      <c r="I26" s="259"/>
      <c r="J26" s="259"/>
      <c r="K26" s="259"/>
      <c r="L26" s="260"/>
    </row>
    <row r="27" spans="1:12" ht="15" customHeight="1" x14ac:dyDescent="0.25">
      <c r="A27" s="194"/>
      <c r="B27" s="258"/>
      <c r="C27" s="259"/>
      <c r="D27" s="259"/>
      <c r="E27" s="259"/>
      <c r="F27" s="259"/>
      <c r="G27" s="259"/>
      <c r="H27" s="259"/>
      <c r="I27" s="259"/>
      <c r="J27" s="259"/>
      <c r="K27" s="259"/>
      <c r="L27" s="260"/>
    </row>
    <row r="28" spans="1:12" ht="15" customHeight="1" x14ac:dyDescent="0.25">
      <c r="A28" s="194"/>
      <c r="B28" s="258"/>
      <c r="C28" s="259"/>
      <c r="D28" s="259"/>
      <c r="E28" s="259"/>
      <c r="F28" s="259"/>
      <c r="G28" s="259"/>
      <c r="H28" s="259"/>
      <c r="I28" s="259"/>
      <c r="J28" s="259"/>
      <c r="K28" s="259"/>
      <c r="L28" s="260"/>
    </row>
    <row r="29" spans="1:12" ht="24" customHeight="1" x14ac:dyDescent="0.25">
      <c r="A29" s="194"/>
      <c r="B29" s="261"/>
      <c r="C29" s="262"/>
      <c r="D29" s="262"/>
      <c r="E29" s="262"/>
      <c r="F29" s="262"/>
      <c r="G29" s="262"/>
      <c r="H29" s="262"/>
      <c r="I29" s="262"/>
      <c r="J29" s="262"/>
      <c r="K29" s="262"/>
      <c r="L29" s="263"/>
    </row>
    <row r="30" spans="1:12" ht="15" customHeight="1" x14ac:dyDescent="0.25">
      <c r="A30" s="194"/>
      <c r="B30" s="251" t="s">
        <v>8</v>
      </c>
      <c r="C30" s="264"/>
      <c r="D30" s="264"/>
      <c r="E30" s="264"/>
      <c r="F30" s="264"/>
      <c r="G30" s="264"/>
      <c r="H30" s="264"/>
      <c r="I30" s="264"/>
      <c r="J30" s="264"/>
      <c r="K30" s="264"/>
      <c r="L30" s="265"/>
    </row>
    <row r="31" spans="1:12" ht="15" customHeight="1" x14ac:dyDescent="0.25">
      <c r="A31" s="194"/>
      <c r="B31" s="251"/>
      <c r="C31" s="264"/>
      <c r="D31" s="264"/>
      <c r="E31" s="264"/>
      <c r="F31" s="264"/>
      <c r="G31" s="264"/>
      <c r="H31" s="264"/>
      <c r="I31" s="264"/>
      <c r="J31" s="264"/>
      <c r="K31" s="264"/>
      <c r="L31" s="265"/>
    </row>
    <row r="32" spans="1:12" ht="15" customHeight="1" x14ac:dyDescent="0.25">
      <c r="A32" s="194"/>
      <c r="B32" s="251"/>
      <c r="C32" s="264"/>
      <c r="D32" s="264"/>
      <c r="E32" s="264"/>
      <c r="F32" s="264"/>
      <c r="G32" s="264"/>
      <c r="H32" s="264"/>
      <c r="I32" s="264"/>
      <c r="J32" s="264"/>
      <c r="K32" s="264"/>
      <c r="L32" s="265"/>
    </row>
    <row r="33" spans="1:12" ht="15" customHeight="1" x14ac:dyDescent="0.25">
      <c r="A33" s="194"/>
      <c r="B33" s="251"/>
      <c r="C33" s="264"/>
      <c r="D33" s="264"/>
      <c r="E33" s="264"/>
      <c r="F33" s="264"/>
      <c r="G33" s="264"/>
      <c r="H33" s="264"/>
      <c r="I33" s="264"/>
      <c r="J33" s="264"/>
      <c r="K33" s="264"/>
      <c r="L33" s="265"/>
    </row>
    <row r="34" spans="1:12" ht="15" customHeight="1" x14ac:dyDescent="0.25">
      <c r="A34" s="194"/>
      <c r="B34" s="251"/>
      <c r="C34" s="264"/>
      <c r="D34" s="264"/>
      <c r="E34" s="264"/>
      <c r="F34" s="264"/>
      <c r="G34" s="264"/>
      <c r="H34" s="264"/>
      <c r="I34" s="264"/>
      <c r="J34" s="264"/>
      <c r="K34" s="264"/>
      <c r="L34" s="265"/>
    </row>
    <row r="35" spans="1:12" ht="15" customHeight="1" x14ac:dyDescent="0.25">
      <c r="A35" s="194"/>
      <c r="B35" s="251"/>
      <c r="C35" s="264"/>
      <c r="D35" s="264"/>
      <c r="E35" s="264"/>
      <c r="F35" s="264"/>
      <c r="G35" s="264"/>
      <c r="H35" s="264"/>
      <c r="I35" s="264"/>
      <c r="J35" s="264"/>
      <c r="K35" s="264"/>
      <c r="L35" s="265"/>
    </row>
    <row r="36" spans="1:12" ht="15" customHeight="1" x14ac:dyDescent="0.25">
      <c r="A36" s="194"/>
      <c r="B36" s="251"/>
      <c r="C36" s="264"/>
      <c r="D36" s="264"/>
      <c r="E36" s="264"/>
      <c r="F36" s="264"/>
      <c r="G36" s="264"/>
      <c r="H36" s="264"/>
      <c r="I36" s="264"/>
      <c r="J36" s="264"/>
      <c r="K36" s="264"/>
      <c r="L36" s="265"/>
    </row>
    <row r="37" spans="1:12" ht="24" customHeight="1" x14ac:dyDescent="0.25">
      <c r="A37" s="194"/>
      <c r="B37" s="266"/>
      <c r="C37" s="267"/>
      <c r="D37" s="267"/>
      <c r="E37" s="267"/>
      <c r="F37" s="267"/>
      <c r="G37" s="267"/>
      <c r="H37" s="267"/>
      <c r="I37" s="267"/>
      <c r="J37" s="267"/>
      <c r="K37" s="267"/>
      <c r="L37" s="268"/>
    </row>
    <row r="38" spans="1:12" ht="15" customHeight="1" x14ac:dyDescent="0.25">
      <c r="A38" s="194"/>
      <c r="B38" s="251" t="s">
        <v>439</v>
      </c>
      <c r="C38" s="264"/>
      <c r="D38" s="264"/>
      <c r="E38" s="264"/>
      <c r="F38" s="264"/>
      <c r="G38" s="264"/>
      <c r="H38" s="264"/>
      <c r="I38" s="264"/>
      <c r="J38" s="264"/>
      <c r="K38" s="264"/>
      <c r="L38" s="265"/>
    </row>
    <row r="39" spans="1:12" ht="15" customHeight="1" x14ac:dyDescent="0.25">
      <c r="A39" s="194"/>
      <c r="B39" s="251"/>
      <c r="C39" s="264"/>
      <c r="D39" s="264"/>
      <c r="E39" s="264"/>
      <c r="F39" s="264"/>
      <c r="G39" s="264"/>
      <c r="H39" s="264"/>
      <c r="I39" s="264"/>
      <c r="J39" s="264"/>
      <c r="K39" s="264"/>
      <c r="L39" s="265"/>
    </row>
    <row r="40" spans="1:12" ht="15" customHeight="1" x14ac:dyDescent="0.25">
      <c r="A40" s="205"/>
      <c r="B40" s="251"/>
      <c r="C40" s="264"/>
      <c r="D40" s="264"/>
      <c r="E40" s="264"/>
      <c r="F40" s="264"/>
      <c r="G40" s="264"/>
      <c r="H40" s="264"/>
      <c r="I40" s="264"/>
      <c r="J40" s="264"/>
      <c r="K40" s="264"/>
      <c r="L40" s="265"/>
    </row>
    <row r="41" spans="1:12" ht="15" customHeight="1" x14ac:dyDescent="0.25">
      <c r="A41" s="194"/>
      <c r="B41" s="251"/>
      <c r="C41" s="264"/>
      <c r="D41" s="264"/>
      <c r="E41" s="264"/>
      <c r="F41" s="264"/>
      <c r="G41" s="264"/>
      <c r="H41" s="264"/>
      <c r="I41" s="264"/>
      <c r="J41" s="264"/>
      <c r="K41" s="264"/>
      <c r="L41" s="265"/>
    </row>
    <row r="42" spans="1:12" ht="15" customHeight="1" x14ac:dyDescent="0.25">
      <c r="A42" s="194"/>
      <c r="B42" s="251"/>
      <c r="C42" s="264"/>
      <c r="D42" s="264"/>
      <c r="E42" s="264"/>
      <c r="F42" s="264"/>
      <c r="G42" s="264"/>
      <c r="H42" s="264"/>
      <c r="I42" s="264"/>
      <c r="J42" s="264"/>
      <c r="K42" s="264"/>
      <c r="L42" s="265"/>
    </row>
    <row r="43" spans="1:12" s="4" customFormat="1" ht="15" customHeight="1" x14ac:dyDescent="0.2">
      <c r="A43" s="205"/>
      <c r="B43" s="251"/>
      <c r="C43" s="264"/>
      <c r="D43" s="264"/>
      <c r="E43" s="264"/>
      <c r="F43" s="264"/>
      <c r="G43" s="264"/>
      <c r="H43" s="264"/>
      <c r="I43" s="264"/>
      <c r="J43" s="264"/>
      <c r="K43" s="264"/>
      <c r="L43" s="265"/>
    </row>
    <row r="44" spans="1:12" ht="15" customHeight="1" x14ac:dyDescent="0.25">
      <c r="A44" s="197"/>
      <c r="B44" s="251"/>
      <c r="C44" s="264"/>
      <c r="D44" s="264"/>
      <c r="E44" s="264"/>
      <c r="F44" s="264"/>
      <c r="G44" s="264"/>
      <c r="H44" s="264"/>
      <c r="I44" s="264"/>
      <c r="J44" s="264"/>
      <c r="K44" s="264"/>
      <c r="L44" s="265"/>
    </row>
    <row r="45" spans="1:12" ht="15" customHeight="1" x14ac:dyDescent="0.25">
      <c r="A45" s="197"/>
      <c r="B45" s="251"/>
      <c r="C45" s="264"/>
      <c r="D45" s="264"/>
      <c r="E45" s="264"/>
      <c r="F45" s="264"/>
      <c r="G45" s="264"/>
      <c r="H45" s="264"/>
      <c r="I45" s="264"/>
      <c r="J45" s="264"/>
      <c r="K45" s="264"/>
      <c r="L45" s="265"/>
    </row>
    <row r="46" spans="1:12" ht="15" customHeight="1" x14ac:dyDescent="0.25">
      <c r="A46" s="197"/>
      <c r="B46" s="251"/>
      <c r="C46" s="264"/>
      <c r="D46" s="264"/>
      <c r="E46" s="264"/>
      <c r="F46" s="264"/>
      <c r="G46" s="264"/>
      <c r="H46" s="264"/>
      <c r="I46" s="264"/>
      <c r="J46" s="264"/>
      <c r="K46" s="264"/>
      <c r="L46" s="265"/>
    </row>
    <row r="47" spans="1:12" ht="24" customHeight="1" thickBot="1" x14ac:dyDescent="0.3">
      <c r="A47" s="197"/>
      <c r="B47" s="269"/>
      <c r="C47" s="270"/>
      <c r="D47" s="270"/>
      <c r="E47" s="270"/>
      <c r="F47" s="270"/>
      <c r="G47" s="270"/>
      <c r="H47" s="270"/>
      <c r="I47" s="270"/>
      <c r="J47" s="270"/>
      <c r="K47" s="270"/>
      <c r="L47" s="271"/>
    </row>
    <row r="48" spans="1:12" ht="15" customHeight="1" x14ac:dyDescent="0.25">
      <c r="B48" s="11"/>
      <c r="C48" s="11"/>
      <c r="D48" s="11"/>
      <c r="E48" s="11"/>
      <c r="F48" s="11"/>
      <c r="G48" s="11"/>
      <c r="H48" s="11"/>
      <c r="I48" s="11"/>
      <c r="J48" s="11"/>
      <c r="K48" s="11"/>
      <c r="L48" s="11"/>
    </row>
    <row r="49" spans="1:5" ht="15" customHeight="1" x14ac:dyDescent="0.25"/>
    <row r="50" spans="1:5" ht="15" customHeight="1" x14ac:dyDescent="0.25"/>
    <row r="51" spans="1:5" ht="15" customHeight="1" x14ac:dyDescent="0.25"/>
    <row r="52" spans="1:5" ht="15" customHeight="1" x14ac:dyDescent="0.25"/>
    <row r="53" spans="1:5" ht="15" customHeight="1" x14ac:dyDescent="0.25"/>
    <row r="54" spans="1:5" ht="15" customHeight="1" x14ac:dyDescent="0.25"/>
    <row r="55" spans="1:5" ht="15" customHeight="1" x14ac:dyDescent="0.25"/>
    <row r="56" spans="1:5" ht="15" customHeight="1" x14ac:dyDescent="0.25"/>
    <row r="57" spans="1:5" ht="15" customHeight="1" x14ac:dyDescent="0.25"/>
    <row r="58" spans="1:5" ht="15" customHeight="1" x14ac:dyDescent="0.25"/>
    <row r="59" spans="1:5" ht="15" customHeight="1" x14ac:dyDescent="0.25"/>
    <row r="60" spans="1:5" x14ac:dyDescent="0.25">
      <c r="A60" s="11"/>
      <c r="B60" s="11"/>
      <c r="C60" s="11"/>
      <c r="D60" s="11"/>
      <c r="E60" s="11"/>
    </row>
  </sheetData>
  <sheetProtection selectLockedCells="1" selectUnlockedCells="1"/>
  <mergeCells count="18">
    <mergeCell ref="B30:L36"/>
    <mergeCell ref="B37:L37"/>
    <mergeCell ref="B38:L46"/>
    <mergeCell ref="B47:L47"/>
    <mergeCell ref="B19:L19"/>
    <mergeCell ref="B20:L22"/>
    <mergeCell ref="B23:L23"/>
    <mergeCell ref="B24:L28"/>
    <mergeCell ref="B29:L29"/>
    <mergeCell ref="A2:L2"/>
    <mergeCell ref="A1:L1"/>
    <mergeCell ref="B4:G4"/>
    <mergeCell ref="I4:J7"/>
    <mergeCell ref="K4:L7"/>
    <mergeCell ref="B5:G8"/>
    <mergeCell ref="I8:L17"/>
    <mergeCell ref="B10:G10"/>
    <mergeCell ref="B11:G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35FD1-5C3B-4D16-8FDE-AA786208D457}">
  <sheetPr codeName="Hoja3">
    <tabColor theme="1"/>
  </sheetPr>
  <dimension ref="B1:K36"/>
  <sheetViews>
    <sheetView showGridLines="0" workbookViewId="0">
      <selection activeCell="D7" sqref="D7"/>
    </sheetView>
  </sheetViews>
  <sheetFormatPr baseColWidth="10" defaultColWidth="11.42578125" defaultRowHeight="15" x14ac:dyDescent="0.25"/>
  <cols>
    <col min="1" max="1" width="3.42578125" customWidth="1"/>
    <col min="2" max="2" width="7.140625" customWidth="1"/>
    <col min="3" max="3" width="9.140625" customWidth="1"/>
    <col min="4" max="4" width="21.42578125" customWidth="1"/>
    <col min="5" max="5" width="14.28515625" customWidth="1"/>
    <col min="6" max="6" width="57.140625" customWidth="1"/>
    <col min="7" max="7" width="21.42578125" customWidth="1"/>
    <col min="8" max="9" width="25" customWidth="1"/>
    <col min="10" max="10" width="11.85546875" bestFit="1" customWidth="1"/>
  </cols>
  <sheetData>
    <row r="1" spans="2:11" ht="18.75" customHeight="1" x14ac:dyDescent="0.25"/>
    <row r="2" spans="2:11" ht="30" customHeight="1" x14ac:dyDescent="0.25">
      <c r="D2" s="17"/>
      <c r="E2" s="18"/>
      <c r="F2" s="18"/>
    </row>
    <row r="3" spans="2:11" ht="16.5" customHeight="1" x14ac:dyDescent="0.35">
      <c r="B3" s="39" t="s">
        <v>9</v>
      </c>
      <c r="C3" s="16"/>
      <c r="D3" s="36"/>
      <c r="E3" s="18"/>
      <c r="F3" s="18"/>
      <c r="I3" s="35">
        <v>0</v>
      </c>
      <c r="J3" s="272" t="s">
        <v>10</v>
      </c>
      <c r="K3" s="272"/>
    </row>
    <row r="4" spans="2:11" ht="16.5" customHeight="1" x14ac:dyDescent="0.25">
      <c r="I4" s="35">
        <v>1</v>
      </c>
      <c r="J4" s="272" t="s">
        <v>11</v>
      </c>
      <c r="K4" s="272"/>
    </row>
    <row r="5" spans="2:11" ht="16.5" customHeight="1" x14ac:dyDescent="0.25">
      <c r="C5" s="19"/>
      <c r="E5" s="20" t="s">
        <v>12</v>
      </c>
      <c r="F5" s="45">
        <f>COUNTIF(SUMMARY!B7:B36,TRUE())</f>
        <v>11</v>
      </c>
    </row>
    <row r="6" spans="2:11" ht="37.5" customHeight="1" x14ac:dyDescent="0.25">
      <c r="B6" s="23" t="s">
        <v>13</v>
      </c>
      <c r="C6" s="24" t="s">
        <v>14</v>
      </c>
      <c r="D6" s="24" t="s">
        <v>15</v>
      </c>
      <c r="E6" s="24" t="s">
        <v>16</v>
      </c>
      <c r="F6" s="24" t="s">
        <v>17</v>
      </c>
      <c r="G6" s="24" t="s">
        <v>18</v>
      </c>
      <c r="H6" s="24" t="s">
        <v>19</v>
      </c>
      <c r="I6" s="24" t="s">
        <v>20</v>
      </c>
      <c r="J6" s="24" t="s">
        <v>21</v>
      </c>
      <c r="K6" s="24" t="s">
        <v>22</v>
      </c>
    </row>
    <row r="7" spans="2:11" s="14" customFormat="1" ht="15" customHeight="1" x14ac:dyDescent="0.2">
      <c r="B7" s="41" t="b">
        <v>1</v>
      </c>
      <c r="C7" s="21">
        <f>IF(B7=TRUE,1,"")</f>
        <v>1</v>
      </c>
      <c r="D7" s="22" t="s">
        <v>23</v>
      </c>
      <c r="E7" s="26">
        <v>2011</v>
      </c>
      <c r="F7" s="185" t="s">
        <v>24</v>
      </c>
      <c r="G7" s="185" t="s">
        <v>25</v>
      </c>
      <c r="H7" s="185" t="s">
        <v>26</v>
      </c>
      <c r="I7" s="186" t="str">
        <f>IF(D7="","",CONCATENATE(D7,", ",E7))</f>
        <v>Gaca, 2011</v>
      </c>
      <c r="J7" s="44">
        <f>IF(SUMMARY!B7=TRUE,IF(SUM(CHARMS!F$13,CHARMS!F$15,CHARMS!F$29,CHARMS!F$37,CHARMS!F$44,CHARMS!F$49,CHARMS!F$52,CHARMS!F$57,CHARMS!F$78,CHARMS!F$83,CHARMS!F$88)&lt;11,0,1))</f>
        <v>1</v>
      </c>
      <c r="K7" s="44">
        <f>IF(SUMMARY!B7=TRUE,IF(SUM(COUNTBLANK(PROBAST!B$16:B$17),COUNTBLANK(PROBAST!B$30:B$31),COUNTBLANK(PROBAST!B$44:B$45),COUNTBLANK(PROBAST!B$63))&gt;0,0,1))</f>
        <v>1</v>
      </c>
    </row>
    <row r="8" spans="2:11" ht="15" customHeight="1" x14ac:dyDescent="0.25">
      <c r="B8" s="42" t="b">
        <v>1</v>
      </c>
      <c r="C8" s="21">
        <f>IF(B8=TRUE,2,"")</f>
        <v>2</v>
      </c>
      <c r="D8" s="22" t="s">
        <v>27</v>
      </c>
      <c r="E8" s="26">
        <v>2012</v>
      </c>
      <c r="F8" s="185" t="s">
        <v>28</v>
      </c>
      <c r="G8" s="185" t="s">
        <v>29</v>
      </c>
      <c r="H8" s="185" t="s">
        <v>30</v>
      </c>
      <c r="I8" s="186" t="str">
        <f t="shared" ref="I8:I36" si="0">IF(D8="","",CONCATENATE(D8,", ",E8))</f>
        <v>De Feo, 2012</v>
      </c>
      <c r="J8" s="44">
        <f>IF(SUMMARY!B$8=TRUE,IF(SUM(CHARMS!I13,CHARMS!I15,CHARMS!I29,CHARMS!I37,CHARMS!I44,CHARMS!I49,CHARMS!I52,CHARMS!I57,CHARMS!I78,CHARMS!I83,CHARMS!I88)&lt;11,0,1))</f>
        <v>1</v>
      </c>
      <c r="K8" s="44">
        <f>IF(SUMMARY!B8=TRUE,IF(SUM(COUNTBLANK(PROBAST!C$16:C$17),COUNTBLANK(PROBAST!C$30:C$31),COUNTBLANK(PROBAST!C$44:C$45),COUNTBLANK(PROBAST!C$63))&gt;0,0,1))</f>
        <v>1</v>
      </c>
    </row>
    <row r="9" spans="2:11" ht="15" customHeight="1" x14ac:dyDescent="0.25">
      <c r="B9" s="42" t="b">
        <v>1</v>
      </c>
      <c r="C9" s="21">
        <f>IF(B9=TRUE,3,"")</f>
        <v>3</v>
      </c>
      <c r="D9" s="22" t="s">
        <v>31</v>
      </c>
      <c r="E9" s="26">
        <v>2014</v>
      </c>
      <c r="F9" s="185" t="s">
        <v>32</v>
      </c>
      <c r="G9" s="185" t="s">
        <v>33</v>
      </c>
      <c r="H9" s="185" t="s">
        <v>34</v>
      </c>
      <c r="I9" s="186" t="str">
        <f t="shared" si="0"/>
        <v>Martínez-Sellés, 2014</v>
      </c>
      <c r="J9" s="44">
        <f>IF(SUMMARY!B$9=TRUE,IF(SUM(CHARMS!L13,CHARMS!L15,CHARMS!L29,CHARMS!L37,CHARMS!L44,CHARMS!L49,CHARMS!L52,CHARMS!L57,CHARMS!L78,CHARMS!L83,CHARMS!L88)&lt;11,0,1))</f>
        <v>1</v>
      </c>
      <c r="K9" s="44">
        <f>IF(SUMMARY!B9=TRUE,IF(SUM(COUNTBLANK(PROBAST!D$16:D$17),COUNTBLANK(PROBAST!D$30:D$31),COUNTBLANK(PROBAST!D$44:D$45),COUNTBLANK(PROBAST!D$63))&gt;0,0,1))</f>
        <v>1</v>
      </c>
    </row>
    <row r="10" spans="2:11" ht="15" customHeight="1" x14ac:dyDescent="0.25">
      <c r="B10" s="43" t="b">
        <v>1</v>
      </c>
      <c r="C10" s="21">
        <f>IF(B10=TRUE,4,"")</f>
        <v>4</v>
      </c>
      <c r="D10" s="22" t="s">
        <v>35</v>
      </c>
      <c r="E10" s="26">
        <v>2016</v>
      </c>
      <c r="F10" s="185" t="s">
        <v>36</v>
      </c>
      <c r="G10" s="185" t="s">
        <v>37</v>
      </c>
      <c r="H10" s="185" t="s">
        <v>38</v>
      </c>
      <c r="I10" s="186" t="str">
        <f t="shared" si="0"/>
        <v>Madeira, 2016</v>
      </c>
      <c r="J10" s="44">
        <f>IF(SUMMARY!B$10=TRUE,IF(SUM(CHARMS!O13,CHARMS!O15,CHARMS!O29,CHARMS!O37,CHARMS!O44,CHARMS!O49,CHARMS!O52,CHARMS!O57,CHARMS!O78,CHARMS!O83,CHARMS!O88)&lt;11,0,1))</f>
        <v>1</v>
      </c>
      <c r="K10" s="44">
        <f>IF(SUMMARY!B10=TRUE,IF(SUM(COUNTBLANK(PROBAST!E$16:E$17),COUNTBLANK(PROBAST!E$30:E$31),COUNTBLANK(PROBAST!E$44:E$45),COUNTBLANK(PROBAST!E$63))&gt;0,0,1))</f>
        <v>1</v>
      </c>
    </row>
    <row r="11" spans="2:11" ht="15" customHeight="1" x14ac:dyDescent="0.25">
      <c r="B11" s="43" t="b">
        <v>1</v>
      </c>
      <c r="C11" s="21">
        <f>IF(B11=TRUE,5,"")</f>
        <v>5</v>
      </c>
      <c r="D11" s="22" t="s">
        <v>443</v>
      </c>
      <c r="E11" s="26">
        <v>2017</v>
      </c>
      <c r="F11" s="185" t="s">
        <v>39</v>
      </c>
      <c r="G11" s="185" t="s">
        <v>40</v>
      </c>
      <c r="H11" s="185" t="s">
        <v>41</v>
      </c>
      <c r="I11" s="186" t="str">
        <f t="shared" si="0"/>
        <v>Gatti (a), 2017</v>
      </c>
      <c r="J11" s="44">
        <f>IF(SUMMARY!B$11=TRUE,IF(SUM(CHARMS!R13,CHARMS!R15,CHARMS!R29,CHARMS!R37,CHARMS!R44,CHARMS!R49,CHARMS!R52,CHARMS!R57,CHARMS!R78,CHARMS!R83,CHARMS!R88)&lt;11,0,1))</f>
        <v>1</v>
      </c>
      <c r="K11" s="44">
        <f>IF(SUMMARY!B11=TRUE,IF(SUM(COUNTBLANK(PROBAST!F$16:F$17),COUNTBLANK(PROBAST!F$30:F$31),COUNTBLANK(PROBAST!F$44:F$45),COUNTBLANK(PROBAST!F$63))&gt;0,0,1))</f>
        <v>1</v>
      </c>
    </row>
    <row r="12" spans="2:11" ht="15" customHeight="1" x14ac:dyDescent="0.25">
      <c r="B12" s="43" t="b">
        <v>1</v>
      </c>
      <c r="C12" s="21">
        <f>IF(B12=TRUE,6,"")</f>
        <v>6</v>
      </c>
      <c r="D12" s="22" t="s">
        <v>444</v>
      </c>
      <c r="E12" s="26">
        <v>2017</v>
      </c>
      <c r="F12" s="185" t="s">
        <v>39</v>
      </c>
      <c r="G12" s="185" t="s">
        <v>40</v>
      </c>
      <c r="H12" s="185" t="s">
        <v>42</v>
      </c>
      <c r="I12" s="186" t="str">
        <f t="shared" si="0"/>
        <v>Gatti (b), 2017</v>
      </c>
      <c r="J12" s="44">
        <f>IF(SUMMARY!B$12=TRUE,IF(SUM(CHARMS!U13,CHARMS!U15,CHARMS!U29,CHARMS!U37,CHARMS!U44,CHARMS!U49,CHARMS!U52,CHARMS!U57,CHARMS!U78,CHARMS!U83,CHARMS!U88)&lt;11,0,1))</f>
        <v>1</v>
      </c>
      <c r="K12" s="44">
        <f>IF(SUMMARY!B12=TRUE,IF(SUM(COUNTBLANK(PROBAST!G$16:G$17),COUNTBLANK(PROBAST!G$30:G$31),COUNTBLANK(PROBAST!G$44:G$45),COUNTBLANK(PROBAST!G$63))&gt;0,0,1))</f>
        <v>1</v>
      </c>
    </row>
    <row r="13" spans="2:11" ht="15" customHeight="1" x14ac:dyDescent="0.25">
      <c r="B13" s="43" t="b">
        <v>1</v>
      </c>
      <c r="C13" s="21">
        <f>IF(B13=TRUE,7,"")</f>
        <v>7</v>
      </c>
      <c r="D13" s="22" t="s">
        <v>43</v>
      </c>
      <c r="E13" s="26">
        <v>2017</v>
      </c>
      <c r="F13" s="185" t="s">
        <v>44</v>
      </c>
      <c r="G13" s="185" t="s">
        <v>45</v>
      </c>
      <c r="H13" s="185" t="s">
        <v>46</v>
      </c>
      <c r="I13" s="186" t="str">
        <f t="shared" si="0"/>
        <v>Di Mauro, 2017</v>
      </c>
      <c r="J13" s="44">
        <f>IF(SUMMARY!B$13=TRUE,IF(SUM(CHARMS!X13,CHARMS!X15,CHARMS!X29,CHARMS!X37,CHARMS!X44,CHARMS!X49,CHARMS!X52,CHARMS!X57,CHARMS!X78,CHARMS!X83,CHARMS!X88)&lt;11,0,1))</f>
        <v>1</v>
      </c>
      <c r="K13" s="44">
        <f>IF(SUMMARY!B13=TRUE,IF(SUM(COUNTBLANK(PROBAST!H$16:H$17),COUNTBLANK(PROBAST!H$30:H$31),COUNTBLANK(PROBAST!H$44:H$45),COUNTBLANK(PROBAST!H$63))&gt;0,0,1))</f>
        <v>1</v>
      </c>
    </row>
    <row r="14" spans="2:11" ht="15" customHeight="1" x14ac:dyDescent="0.25">
      <c r="B14" s="43" t="b">
        <v>1</v>
      </c>
      <c r="C14" s="21">
        <f>IF(B14=TRUE,8,"")</f>
        <v>8</v>
      </c>
      <c r="D14" s="22" t="s">
        <v>445</v>
      </c>
      <c r="E14" s="26">
        <v>2017</v>
      </c>
      <c r="F14" s="185" t="s">
        <v>47</v>
      </c>
      <c r="G14" s="185" t="s">
        <v>48</v>
      </c>
      <c r="H14" s="185" t="s">
        <v>49</v>
      </c>
      <c r="I14" s="186" t="str">
        <f t="shared" si="0"/>
        <v>Gatti (c), 2017</v>
      </c>
      <c r="J14" s="44">
        <f>IF(SUMMARY!B$14=TRUE,IF(SUM(CHARMS!AA13,CHARMS!AA15,CHARMS!AA29,CHARMS!AA37,CHARMS!AA44,CHARMS!AA49,CHARMS!AA52,CHARMS!AA57,CHARMS!AA78,CHARMS!AA83,CHARMS!AA88)&lt;11,0,1))</f>
        <v>1</v>
      </c>
      <c r="K14" s="44">
        <f>IF(SUMMARY!B14=TRUE,IF(SUM(COUNTBLANK(PROBAST!I$16:I$17),COUNTBLANK(PROBAST!I$30:I$31),COUNTBLANK(PROBAST!I$44:I$45),COUNTBLANK(PROBAST!I$63))&gt;0,0,1))</f>
        <v>1</v>
      </c>
    </row>
    <row r="15" spans="2:11" ht="15" customHeight="1" x14ac:dyDescent="0.25">
      <c r="B15" s="43" t="b">
        <v>1</v>
      </c>
      <c r="C15" s="21">
        <f>IF(B15=TRUE,9,"")</f>
        <v>9</v>
      </c>
      <c r="D15" s="22" t="s">
        <v>50</v>
      </c>
      <c r="E15" s="26">
        <v>2017</v>
      </c>
      <c r="F15" s="185" t="s">
        <v>51</v>
      </c>
      <c r="G15" s="185" t="s">
        <v>52</v>
      </c>
      <c r="H15" s="185" t="s">
        <v>53</v>
      </c>
      <c r="I15" s="186" t="str">
        <f t="shared" si="0"/>
        <v>Olmos, 2017</v>
      </c>
      <c r="J15" s="44">
        <f>IF(SUMMARY!B$15=TRUE,IF(SUM(CHARMS!AD13,CHARMS!AD15,CHARMS!AD29,CHARMS!AD37,CHARMS!AD44,CHARMS!AD49,CHARMS!AD52,CHARMS!AD57,CHARMS!AD78,CHARMS!AD83,CHARMS!AD88)&lt;11,0,1))</f>
        <v>1</v>
      </c>
      <c r="K15" s="44">
        <f>IF(SUMMARY!B15=TRUE,IF(SUM(COUNTBLANK(PROBAST!J$16:J$17),COUNTBLANK(PROBAST!J$30:J$31),COUNTBLANK(PROBAST!J$44:J$45),COUNTBLANK(PROBAST!J$63))&gt;0,0,1))</f>
        <v>1</v>
      </c>
    </row>
    <row r="16" spans="2:11" ht="15" customHeight="1" x14ac:dyDescent="0.25">
      <c r="B16" s="43" t="b">
        <v>1</v>
      </c>
      <c r="C16" s="21">
        <f>IF(B16=TRUE,10,"")</f>
        <v>10</v>
      </c>
      <c r="D16" s="22" t="s">
        <v>442</v>
      </c>
      <c r="E16" s="26">
        <v>2018</v>
      </c>
      <c r="F16" s="185" t="s">
        <v>54</v>
      </c>
      <c r="G16" s="185" t="s">
        <v>55</v>
      </c>
      <c r="H16" s="185" t="s">
        <v>56</v>
      </c>
      <c r="I16" s="186" t="str">
        <f t="shared" si="0"/>
        <v>Fernández-Hidalgo (a), 2018</v>
      </c>
      <c r="J16" s="44">
        <f>IF(SUMMARY!B$16=TRUE,IF(SUM(CHARMS!AG13,CHARMS!AG15,CHARMS!AG29,CHARMS!AG37,CHARMS!AG44,CHARMS!AG49,CHARMS!AG52,CHARMS!AG57,CHARMS!AG78,CHARMS!AG83,CHARMS!AG88)&lt;11,0,1))</f>
        <v>1</v>
      </c>
      <c r="K16" s="44">
        <f>IF(SUMMARY!B16=TRUE,IF(SUM(COUNTBLANK(PROBAST!K$16:K$17),COUNTBLANK(PROBAST!K$30:K$31),COUNTBLANK(PROBAST!K$44:K$45),COUNTBLANK(PROBAST!K$63))&gt;0,0,1))</f>
        <v>1</v>
      </c>
    </row>
    <row r="17" spans="2:11" ht="15" customHeight="1" x14ac:dyDescent="0.25">
      <c r="B17" s="43" t="b">
        <v>1</v>
      </c>
      <c r="C17" s="21">
        <f>IF(B17=TRUE,11,"")</f>
        <v>11</v>
      </c>
      <c r="D17" s="22" t="s">
        <v>441</v>
      </c>
      <c r="E17" s="26">
        <v>2018</v>
      </c>
      <c r="F17" s="185" t="s">
        <v>54</v>
      </c>
      <c r="G17" s="185" t="s">
        <v>55</v>
      </c>
      <c r="H17" s="185" t="s">
        <v>57</v>
      </c>
      <c r="I17" s="186" t="str">
        <f t="shared" si="0"/>
        <v>Fernández-Hidalgo (b), 2018</v>
      </c>
      <c r="J17" s="44">
        <f>IF(SUMMARY!B$17=TRUE,IF(SUM(CHARMS!AJ13,CHARMS!AJ15,CHARMS!AJ29,CHARMS!AJ37,CHARMS!AJ44,CHARMS!AJ49,CHARMS!AJ52,CHARMS!AJ57,CHARMS!AJ78,CHARMS!AJ83,CHARMS!AJ88)&lt;11,0,1))</f>
        <v>1</v>
      </c>
      <c r="K17" s="44">
        <f>IF(SUMMARY!B17=TRUE,IF(SUM(COUNTBLANK(PROBAST!L$16:L$17),COUNTBLANK(PROBAST!L$30:L$31),COUNTBLANK(PROBAST!L$44:L$45),COUNTBLANK(PROBAST!L$63))&gt;0,0,1))</f>
        <v>1</v>
      </c>
    </row>
    <row r="18" spans="2:11" x14ac:dyDescent="0.25">
      <c r="B18" s="43" t="b">
        <v>0</v>
      </c>
      <c r="C18" s="21" t="str">
        <f>IF(B18=TRUE,12,"")</f>
        <v/>
      </c>
      <c r="D18" s="22"/>
      <c r="E18" s="26"/>
      <c r="F18" s="185"/>
      <c r="G18" s="185"/>
      <c r="H18" s="185"/>
      <c r="I18" s="186" t="str">
        <f t="shared" si="0"/>
        <v/>
      </c>
      <c r="J18" s="44" t="b">
        <f>IF(SUMMARY!B$18=TRUE,IF(SUM(CHARMS!AM13,CHARMS!AM15,CHARMS!AM29,CHARMS!AM37,CHARMS!AM44,CHARMS!AM49,CHARMS!AM52,CHARMS!AM57,CHARMS!AM78,CHARMS!AM83,CHARMS!AM88)&lt;11,0,1))</f>
        <v>0</v>
      </c>
      <c r="K18" s="44" t="b">
        <f>IF(SUMMARY!B18=TRUE,IF(SUM(COUNTBLANK(PROBAST!M$16:M$17),COUNTBLANK(PROBAST!M$30:M$31),COUNTBLANK(PROBAST!M$44:M$45),COUNTBLANK(PROBAST!M$63))&gt;0,0,1))</f>
        <v>0</v>
      </c>
    </row>
    <row r="19" spans="2:11" x14ac:dyDescent="0.25">
      <c r="B19" s="43" t="b">
        <v>0</v>
      </c>
      <c r="C19" s="21" t="str">
        <f>IF(B19=TRUE,13,"")</f>
        <v/>
      </c>
      <c r="D19" s="22"/>
      <c r="E19" s="26"/>
      <c r="F19" s="185"/>
      <c r="G19" s="185"/>
      <c r="H19" s="185"/>
      <c r="I19" s="186" t="str">
        <f t="shared" si="0"/>
        <v/>
      </c>
      <c r="J19" s="44" t="b">
        <f>IF(SUMMARY!B$19=TRUE,IF(SUM(CHARMS!AP13,CHARMS!AP15,CHARMS!AP29,CHARMS!AP37,CHARMS!AP44,CHARMS!AP49,CHARMS!AP52,CHARMS!AP57,CHARMS!AP78,CHARMS!AP83,CHARMS!AP88)&lt;11,0,1))</f>
        <v>0</v>
      </c>
      <c r="K19" s="44" t="b">
        <f>IF(SUMMARY!B19=TRUE,IF(SUM(COUNTBLANK(PROBAST!N$16:N$17),COUNTBLANK(PROBAST!N$30:N$31),COUNTBLANK(PROBAST!N$44:N$45),COUNTBLANK(PROBAST!N$63))&gt;0,0,1))</f>
        <v>0</v>
      </c>
    </row>
    <row r="20" spans="2:11" x14ac:dyDescent="0.25">
      <c r="B20" s="43" t="b">
        <v>0</v>
      </c>
      <c r="C20" s="21" t="str">
        <f>IF(B20=TRUE,14,"")</f>
        <v/>
      </c>
      <c r="D20" s="22"/>
      <c r="E20" s="26"/>
      <c r="F20" s="185"/>
      <c r="G20" s="185"/>
      <c r="H20" s="185"/>
      <c r="I20" s="186" t="str">
        <f t="shared" si="0"/>
        <v/>
      </c>
      <c r="J20" s="44" t="b">
        <f>IF(SUMMARY!B$20=TRUE,IF(SUM(CHARMS!AS13,CHARMS!AS15,CHARMS!AS29,CHARMS!AS37,CHARMS!AS44,CHARMS!AS49,CHARMS!AS52,CHARMS!AS57,CHARMS!AS78,CHARMS!AS83,CHARMS!AS88)&lt;11,0,1))</f>
        <v>0</v>
      </c>
      <c r="K20" s="44" t="b">
        <f>IF(SUMMARY!B20=TRUE,IF(SUM(COUNTBLANK(PROBAST!O$16:O$17),COUNTBLANK(PROBAST!O$30:O$31),COUNTBLANK(PROBAST!O$44:O$45),COUNTBLANK(PROBAST!O$63))&gt;0,0,1))</f>
        <v>0</v>
      </c>
    </row>
    <row r="21" spans="2:11" x14ac:dyDescent="0.25">
      <c r="B21" s="43" t="b">
        <v>0</v>
      </c>
      <c r="C21" s="21" t="str">
        <f>IF(B21=TRUE,15,"")</f>
        <v/>
      </c>
      <c r="D21" s="22"/>
      <c r="E21" s="26"/>
      <c r="F21" s="185"/>
      <c r="G21" s="185"/>
      <c r="H21" s="185"/>
      <c r="I21" s="186" t="str">
        <f t="shared" si="0"/>
        <v/>
      </c>
      <c r="J21" s="44" t="b">
        <f>IF(SUMMARY!B$21=TRUE,IF(SUM(CHARMS!AV13,CHARMS!AV15,CHARMS!AV29,CHARMS!AV37,CHARMS!AV44,CHARMS!AV49,CHARMS!AV52,CHARMS!AV57,CHARMS!AV78,CHARMS!AV83,CHARMS!AV88)&lt;11,0,1))</f>
        <v>0</v>
      </c>
      <c r="K21" s="44" t="b">
        <f>IF(SUMMARY!B21=TRUE,IF(SUM(COUNTBLANK(PROBAST!P$16:P$17),COUNTBLANK(PROBAST!P$30:P$31),COUNTBLANK(PROBAST!P$44:P$45),COUNTBLANK(PROBAST!P$63))&gt;0,0,1))</f>
        <v>0</v>
      </c>
    </row>
    <row r="22" spans="2:11" x14ac:dyDescent="0.25">
      <c r="B22" s="43" t="b">
        <v>0</v>
      </c>
      <c r="C22" s="21" t="str">
        <f>IF(B22=TRUE,16,"")</f>
        <v/>
      </c>
      <c r="D22" s="22"/>
      <c r="E22" s="26"/>
      <c r="F22" s="185"/>
      <c r="G22" s="185"/>
      <c r="H22" s="185"/>
      <c r="I22" s="186" t="str">
        <f t="shared" si="0"/>
        <v/>
      </c>
      <c r="J22" s="44" t="b">
        <f>IF(SUMMARY!B$22=TRUE,IF(SUM(CHARMS!AY13,CHARMS!AY15,CHARMS!AY29,CHARMS!AY37,CHARMS!AY44,CHARMS!AY49,CHARMS!AY52,CHARMS!AY57,CHARMS!AY78,CHARMS!AY83,CHARMS!AY88)&lt;11,0,1))</f>
        <v>0</v>
      </c>
      <c r="K22" s="44" t="b">
        <f>IF(SUMMARY!B22=TRUE,IF(SUM(COUNTBLANK(PROBAST!Q$16:Q$17),COUNTBLANK(PROBAST!Q$30:Q$31),COUNTBLANK(PROBAST!Q$44:Q$45),COUNTBLANK(PROBAST!Q$63))&gt;0,0,1))</f>
        <v>0</v>
      </c>
    </row>
    <row r="23" spans="2:11" x14ac:dyDescent="0.25">
      <c r="B23" s="43" t="b">
        <v>0</v>
      </c>
      <c r="C23" s="21" t="str">
        <f>IF(B23=TRUE,17,"")</f>
        <v/>
      </c>
      <c r="D23" s="22"/>
      <c r="E23" s="26"/>
      <c r="F23" s="185"/>
      <c r="G23" s="185"/>
      <c r="H23" s="185"/>
      <c r="I23" s="186" t="str">
        <f t="shared" si="0"/>
        <v/>
      </c>
      <c r="J23" s="44" t="b">
        <f>IF(SUMMARY!B$23=TRUE,IF(SUM(CHARMS!BB13,CHARMS!BB15,CHARMS!BB29,CHARMS!BB37,CHARMS!BB44,CHARMS!BB49,CHARMS!BB52,CHARMS!BB57,CHARMS!BB78,CHARMS!BB83,CHARMS!BB88)&lt;11,0,1))</f>
        <v>0</v>
      </c>
      <c r="K23" s="44" t="b">
        <f>IF(SUMMARY!B23=TRUE,IF(SUM(COUNTBLANK(PROBAST!R$16:R$17),COUNTBLANK(PROBAST!R$30:R$31),COUNTBLANK(PROBAST!R$44:R$45),COUNTBLANK(PROBAST!R$63))&gt;0,0,1))</f>
        <v>0</v>
      </c>
    </row>
    <row r="24" spans="2:11" x14ac:dyDescent="0.25">
      <c r="B24" s="43" t="b">
        <v>0</v>
      </c>
      <c r="C24" s="21" t="str">
        <f>IF(B24=TRUE,18,"")</f>
        <v/>
      </c>
      <c r="D24" s="22"/>
      <c r="E24" s="26"/>
      <c r="F24" s="185"/>
      <c r="G24" s="185"/>
      <c r="H24" s="185"/>
      <c r="I24" s="186" t="str">
        <f t="shared" si="0"/>
        <v/>
      </c>
      <c r="J24" s="44" t="b">
        <f>IF(SUMMARY!B$24=TRUE,IF(SUM(CHARMS!BE13,CHARMS!BE15,CHARMS!BE29,CHARMS!BE37,CHARMS!BE44,CHARMS!BE49,CHARMS!BE52,CHARMS!BE57,CHARMS!BE78,CHARMS!BE83,CHARMS!BE88)&lt;11,0,1))</f>
        <v>0</v>
      </c>
      <c r="K24" s="44" t="b">
        <f>IF(SUMMARY!B24=TRUE,IF(SUM(COUNTBLANK(PROBAST!S$16:S$17),COUNTBLANK(PROBAST!S$30:S$31),COUNTBLANK(PROBAST!S$44:S$45),COUNTBLANK(PROBAST!S$63))&gt;0,0,1))</f>
        <v>0</v>
      </c>
    </row>
    <row r="25" spans="2:11" x14ac:dyDescent="0.25">
      <c r="B25" s="43" t="b">
        <v>0</v>
      </c>
      <c r="C25" s="21" t="str">
        <f>IF(B25=TRUE,19,"")</f>
        <v/>
      </c>
      <c r="D25" s="22"/>
      <c r="E25" s="26"/>
      <c r="F25" s="185"/>
      <c r="G25" s="185"/>
      <c r="H25" s="185"/>
      <c r="I25" s="186" t="str">
        <f t="shared" si="0"/>
        <v/>
      </c>
      <c r="J25" s="44" t="b">
        <f>IF(SUMMARY!B$25=TRUE,IF(SUM(CHARMS!BH13,CHARMS!BH15,CHARMS!BH29,CHARMS!BH37,CHARMS!BH44,CHARMS!BH49,CHARMS!BH52,CHARMS!BH57,CHARMS!BH78,CHARMS!BH83,CHARMS!BH88)&lt;11,0,1))</f>
        <v>0</v>
      </c>
      <c r="K25" s="44" t="b">
        <f>IF(SUMMARY!B25=TRUE,IF(SUM(COUNTBLANK(PROBAST!T$16:T$17),COUNTBLANK(PROBAST!T$30:T$31),COUNTBLANK(PROBAST!T$44:T$45),COUNTBLANK(PROBAST!T$63))&gt;0,0,1))</f>
        <v>0</v>
      </c>
    </row>
    <row r="26" spans="2:11" x14ac:dyDescent="0.25">
      <c r="B26" s="43" t="b">
        <v>0</v>
      </c>
      <c r="C26" s="21" t="str">
        <f>IF(B26=TRUE,20,"")</f>
        <v/>
      </c>
      <c r="D26" s="22"/>
      <c r="E26" s="26"/>
      <c r="F26" s="185"/>
      <c r="G26" s="185"/>
      <c r="H26" s="185"/>
      <c r="I26" s="186" t="str">
        <f t="shared" si="0"/>
        <v/>
      </c>
      <c r="J26" s="44" t="b">
        <f>IF(SUMMARY!B$26=TRUE,IF(SUM(CHARMS!BK13,CHARMS!BK15,CHARMS!BK29,CHARMS!BK37,CHARMS!BK44,CHARMS!BK49,CHARMS!BK52,CHARMS!BK57,CHARMS!BK78,CHARMS!BK83,CHARMS!BK88)&lt;11,0,1))</f>
        <v>0</v>
      </c>
      <c r="K26" s="44" t="b">
        <f>IF(SUMMARY!B26=TRUE,IF(SUM(COUNTBLANK(PROBAST!U$16:U$17),COUNTBLANK(PROBAST!U$30:U$31),COUNTBLANK(PROBAST!U$44:U$45),COUNTBLANK(PROBAST!U$63))&gt;0,0,1))</f>
        <v>0</v>
      </c>
    </row>
    <row r="27" spans="2:11" x14ac:dyDescent="0.25">
      <c r="B27" s="43" t="b">
        <v>0</v>
      </c>
      <c r="C27" s="21" t="str">
        <f>IF(B27=TRUE,21,"")</f>
        <v/>
      </c>
      <c r="D27" s="22"/>
      <c r="E27" s="26"/>
      <c r="F27" s="185"/>
      <c r="G27" s="185"/>
      <c r="H27" s="185"/>
      <c r="I27" s="186" t="str">
        <f t="shared" si="0"/>
        <v/>
      </c>
      <c r="J27" s="44" t="b">
        <f>IF(SUMMARY!B$27=TRUE,IF(SUM(CHARMS!BN13,CHARMS!BN15,CHARMS!BN29,CHARMS!BN37,CHARMS!BN44,CHARMS!BN49,CHARMS!BN52,CHARMS!BN57,CHARMS!BN78,CHARMS!BN83,CHARMS!BN88)&lt;11,0,1))</f>
        <v>0</v>
      </c>
      <c r="K27" s="44" t="b">
        <f>IF(SUMMARY!B27=TRUE,IF(SUM(COUNTBLANK(PROBAST!V$16:V$17),COUNTBLANK(PROBAST!V$30:V$31),COUNTBLANK(PROBAST!V$44:V$45),COUNTBLANK(PROBAST!V$63))&gt;0,0,1))</f>
        <v>0</v>
      </c>
    </row>
    <row r="28" spans="2:11" x14ac:dyDescent="0.25">
      <c r="B28" s="43" t="b">
        <v>0</v>
      </c>
      <c r="C28" s="21" t="str">
        <f>IF(B28=TRUE,22,"")</f>
        <v/>
      </c>
      <c r="D28" s="22"/>
      <c r="E28" s="26"/>
      <c r="F28" s="185"/>
      <c r="G28" s="185"/>
      <c r="H28" s="185"/>
      <c r="I28" s="186" t="str">
        <f t="shared" si="0"/>
        <v/>
      </c>
      <c r="J28" s="44" t="b">
        <f>IF(SUMMARY!B$28=TRUE,IF(SUM(CHARMS!BQ13,CHARMS!BQ15,CHARMS!BQ29,CHARMS!BQ37,CHARMS!BQ44,CHARMS!BQ49,CHARMS!BQ52,CHARMS!BQ57,CHARMS!BQ78,CHARMS!BQ83,CHARMS!BQ88)&lt;11,0,1))</f>
        <v>0</v>
      </c>
      <c r="K28" s="44" t="b">
        <f>IF(SUMMARY!B28=TRUE,IF(SUM(COUNTBLANK(PROBAST!W$16:W$17),COUNTBLANK(PROBAST!W$30:W$31),COUNTBLANK(PROBAST!W$44:W$45),COUNTBLANK(PROBAST!W$63))&gt;0,0,1))</f>
        <v>0</v>
      </c>
    </row>
    <row r="29" spans="2:11" x14ac:dyDescent="0.25">
      <c r="B29" s="43" t="b">
        <v>0</v>
      </c>
      <c r="C29" s="21" t="str">
        <f>IF(B29=TRUE,23,"")</f>
        <v/>
      </c>
      <c r="D29" s="22"/>
      <c r="E29" s="26"/>
      <c r="F29" s="185"/>
      <c r="G29" s="185"/>
      <c r="H29" s="185"/>
      <c r="I29" s="186" t="str">
        <f t="shared" si="0"/>
        <v/>
      </c>
      <c r="J29" s="44" t="b">
        <f>IF(SUMMARY!B$29=TRUE,IF(SUM(CHARMS!BT13,CHARMS!BT15,CHARMS!BT29,CHARMS!BT37,CHARMS!BT44,CHARMS!BT49,CHARMS!BT52,CHARMS!BT57,CHARMS!BT78,CHARMS!BT83,CHARMS!BT88)&lt;11,0,1))</f>
        <v>0</v>
      </c>
      <c r="K29" s="44" t="b">
        <f>IF(SUMMARY!B29=TRUE,IF(SUM(COUNTBLANK(PROBAST!X$16:X$17),COUNTBLANK(PROBAST!X$30:X$31),COUNTBLANK(PROBAST!X$44:X$45),COUNTBLANK(PROBAST!X$63))&gt;0,0,1))</f>
        <v>0</v>
      </c>
    </row>
    <row r="30" spans="2:11" x14ac:dyDescent="0.25">
      <c r="B30" s="43" t="b">
        <v>0</v>
      </c>
      <c r="C30" s="21" t="str">
        <f>IF(B30=TRUE,24,"")</f>
        <v/>
      </c>
      <c r="D30" s="22"/>
      <c r="E30" s="26"/>
      <c r="F30" s="185"/>
      <c r="G30" s="185"/>
      <c r="H30" s="185"/>
      <c r="I30" s="186" t="str">
        <f t="shared" si="0"/>
        <v/>
      </c>
      <c r="J30" s="44" t="b">
        <f>IF(SUMMARY!B$30=TRUE,IF(SUM(CHARMS!BW13,CHARMS!BW15,CHARMS!BW29,CHARMS!BW37,CHARMS!BW44,CHARMS!BW49,CHARMS!BW52,CHARMS!BW57,CHARMS!BW78,CHARMS!BW83,CHARMS!BW88)&lt;11,0,1))</f>
        <v>0</v>
      </c>
      <c r="K30" s="44" t="b">
        <f>IF(SUMMARY!B30=TRUE,IF(SUM(COUNTBLANK(PROBAST!Y$16:Y$17),COUNTBLANK(PROBAST!Y$30:Y$31),COUNTBLANK(PROBAST!Y$44:Y$45),COUNTBLANK(PROBAST!Y$63))&gt;0,0,1))</f>
        <v>0</v>
      </c>
    </row>
    <row r="31" spans="2:11" x14ac:dyDescent="0.25">
      <c r="B31" s="43" t="b">
        <v>0</v>
      </c>
      <c r="C31" s="21" t="str">
        <f>IF(B31=TRUE,25,"")</f>
        <v/>
      </c>
      <c r="D31" s="22"/>
      <c r="E31" s="26"/>
      <c r="F31" s="185"/>
      <c r="G31" s="185"/>
      <c r="H31" s="185"/>
      <c r="I31" s="186" t="str">
        <f t="shared" si="0"/>
        <v/>
      </c>
      <c r="J31" s="44" t="b">
        <f>IF(SUMMARY!B$31=TRUE,IF(SUM(CHARMS!BZ$13,CHARMS!BZ$15,CHARMS!BZ$29,CHARMS!BZ$37,CHARMS!BZ$44,CHARMS!BZ$49,CHARMS!BZ$52,CHARMS!BZ$57,CHARMS!BZ$78,CHARMS!BZ$83,CHARMS!BZ$88)&lt;11,0,1))</f>
        <v>0</v>
      </c>
      <c r="K31" s="44" t="b">
        <f>IF(SUMMARY!B31=TRUE,IF(SUM(COUNTBLANK(PROBAST!Z$16:Z$17),COUNTBLANK(PROBAST!Z$30:Z$31),COUNTBLANK(PROBAST!Z$44:Z$45),COUNTBLANK(PROBAST!Z$63))&gt;0,0,1))</f>
        <v>0</v>
      </c>
    </row>
    <row r="32" spans="2:11" x14ac:dyDescent="0.25">
      <c r="B32" s="43" t="b">
        <v>0</v>
      </c>
      <c r="C32" s="21" t="str">
        <f>IF(B32=TRUE,26,"")</f>
        <v/>
      </c>
      <c r="D32" s="22"/>
      <c r="E32" s="26"/>
      <c r="F32" s="185"/>
      <c r="G32" s="185"/>
      <c r="H32" s="185"/>
      <c r="I32" s="186" t="str">
        <f t="shared" si="0"/>
        <v/>
      </c>
      <c r="J32" s="44" t="b">
        <f>IF(SUMMARY!B$32=TRUE,IF(SUM(CHARMS!CC$13,CHARMS!CC$15,CHARMS!CC$29,CHARMS!CC$37,CHARMS!CC$44,CHARMS!CC$49,CHARMS!CC$52,CHARMS!CC$57,CHARMS!CC$78,CHARMS!CC$83,CHARMS!CC$88)&lt;11,0,1))</f>
        <v>0</v>
      </c>
      <c r="K32" s="44" t="b">
        <f>IF(SUMMARY!B32=TRUE,IF(SUM(COUNTBLANK(PROBAST!AA$16:AA$17),COUNTBLANK(PROBAST!AA$30:AA$31),COUNTBLANK(PROBAST!AA$44:AA$45),COUNTBLANK(PROBAST!AA$63))&gt;0,0,1))</f>
        <v>0</v>
      </c>
    </row>
    <row r="33" spans="2:11" x14ac:dyDescent="0.25">
      <c r="B33" s="43" t="b">
        <v>0</v>
      </c>
      <c r="C33" s="21" t="str">
        <f>IF(B33=TRUE,27,"")</f>
        <v/>
      </c>
      <c r="D33" s="22"/>
      <c r="E33" s="26"/>
      <c r="F33" s="185"/>
      <c r="G33" s="185"/>
      <c r="H33" s="185"/>
      <c r="I33" s="186" t="str">
        <f t="shared" si="0"/>
        <v/>
      </c>
      <c r="J33" s="44" t="b">
        <f>IF(SUMMARY!B$33=TRUE,IF(SUM(CHARMS!CF$13,CHARMS!CF$15,CHARMS!CF$29,CHARMS!CF$37,CHARMS!CF$44,CHARMS!CF$49,CHARMS!CF$52,CHARMS!CF$57,CHARMS!CF$78,CHARMS!CF$83,CHARMS!CF$88)&lt;11,0,1))</f>
        <v>0</v>
      </c>
      <c r="K33" s="44" t="b">
        <f>IF(SUMMARY!B33=TRUE,IF(SUM(COUNTBLANK(PROBAST!AB$16:AB$17),COUNTBLANK(PROBAST!AB$30:AB$31),COUNTBLANK(PROBAST!AB$44:AB$45),COUNTBLANK(PROBAST!AB$63))&gt;0,0,1))</f>
        <v>0</v>
      </c>
    </row>
    <row r="34" spans="2:11" x14ac:dyDescent="0.25">
      <c r="B34" s="43" t="b">
        <v>0</v>
      </c>
      <c r="C34" s="21" t="str">
        <f>IF(B34=TRUE,28,"")</f>
        <v/>
      </c>
      <c r="D34" s="22"/>
      <c r="E34" s="26"/>
      <c r="F34" s="185"/>
      <c r="G34" s="185"/>
      <c r="H34" s="185"/>
      <c r="I34" s="186" t="str">
        <f t="shared" si="0"/>
        <v/>
      </c>
      <c r="J34" s="44" t="b">
        <f>IF(SUMMARY!B$34=TRUE,IF(SUM(CHARMS!CI$13,CHARMS!CI$15,CHARMS!CI$29,CHARMS!CI$37,CHARMS!CI$44,CHARMS!CI$49,CHARMS!CI$52,CHARMS!CI$57,CHARMS!CI$78,CHARMS!CI$83,CHARMS!CI$88)&lt;11,0,1))</f>
        <v>0</v>
      </c>
      <c r="K34" s="44" t="b">
        <f>IF(SUMMARY!B34=TRUE,IF(SUM(COUNTBLANK(PROBAST!B$16:AC$17),COUNTBLANK(PROBAST!AC$30:AC$31),COUNTBLANK(PROBAST!AC$44:AC$45),COUNTBLANK(PROBAST!AC$63))&gt;0,0,1))</f>
        <v>0</v>
      </c>
    </row>
    <row r="35" spans="2:11" x14ac:dyDescent="0.25">
      <c r="B35" s="43" t="b">
        <v>0</v>
      </c>
      <c r="C35" s="21" t="str">
        <f>IF(B35=TRUE,29,"")</f>
        <v/>
      </c>
      <c r="D35" s="22"/>
      <c r="E35" s="26"/>
      <c r="F35" s="185"/>
      <c r="G35" s="185"/>
      <c r="H35" s="185"/>
      <c r="I35" s="186" t="str">
        <f t="shared" si="0"/>
        <v/>
      </c>
      <c r="J35" s="44" t="b">
        <f>IF(SUMMARY!B$35=TRUE,IF(SUM(CHARMS!CL$13,CHARMS!CL$15,CHARMS!CL$29,CHARMS!CL$37,CHARMS!CL$44,CHARMS!CL$49,CHARMS!CL$52,CHARMS!CL$57,CHARMS!CL$78,CHARMS!CL$83,CHARMS!CL$88)&lt;11,0,1))</f>
        <v>0</v>
      </c>
      <c r="K35" s="44" t="b">
        <f>IF(SUMMARY!B35=TRUE,IF(SUM(COUNTBLANK(PROBAST!AD$16:AD$17),COUNTBLANK(PROBAST!AD$30:AD$31),COUNTBLANK(PROBAST!AD$44:AD$45),COUNTBLANK(PROBAST!AD$63))&gt;0,0,1))</f>
        <v>0</v>
      </c>
    </row>
    <row r="36" spans="2:11" x14ac:dyDescent="0.25">
      <c r="B36" s="43" t="b">
        <v>0</v>
      </c>
      <c r="C36" s="21" t="str">
        <f>IF(B36=TRUE,30,"")</f>
        <v/>
      </c>
      <c r="D36" s="22"/>
      <c r="E36" s="26"/>
      <c r="F36" s="185"/>
      <c r="G36" s="185"/>
      <c r="H36" s="185"/>
      <c r="I36" s="186" t="str">
        <f t="shared" si="0"/>
        <v/>
      </c>
      <c r="J36" s="44" t="b">
        <f>IF(SUMMARY!B$36=TRUE,IF(SUM(CHARMS!CO$13,CHARMS!CO$15,CHARMS!CO$29,CHARMS!CO$37,CHARMS!CO$44,CHARMS!CO$49,CHARMS!CO$52,CHARMS!CO$57,CHARMS!CO$78,CHARMS!CO$83,CHARMS!CO$88)&lt;11,0,1))</f>
        <v>0</v>
      </c>
      <c r="K36" s="44" t="b">
        <f>IF(SUMMARY!B36=TRUE,IF(SUM(COUNTBLANK(PROBAST!AE$16:AE$17),COUNTBLANK(PROBAST!AE$30:AE$31),COUNTBLANK(PROBAST!AE$44:AE$45),COUNTBLANK(PROBAST!AE$63))&gt;0,0,1))</f>
        <v>0</v>
      </c>
    </row>
  </sheetData>
  <sheetProtection password="8015" sheet="1" selectLockedCells="1"/>
  <mergeCells count="2">
    <mergeCell ref="J3:K3"/>
    <mergeCell ref="J4:K4"/>
  </mergeCells>
  <conditionalFormatting sqref="C7:K36">
    <cfRule type="expression" dxfId="1121" priority="3">
      <formula>$B7=FALSE</formula>
    </cfRule>
  </conditionalFormatting>
  <conditionalFormatting sqref="J7:K36">
    <cfRule type="iconSet" priority="2">
      <iconSet iconSet="3Symbols" showValue="0">
        <cfvo type="percent" val="0"/>
        <cfvo type="num" val="0"/>
        <cfvo type="num" val="1"/>
      </iconSet>
    </cfRule>
  </conditionalFormatting>
  <conditionalFormatting sqref="I3:I4">
    <cfRule type="iconSet" priority="1">
      <iconSet iconSet="3Symbols" showValue="0">
        <cfvo type="percent" val="0"/>
        <cfvo type="num" val="0"/>
        <cfvo type="num" val="1"/>
      </iconSet>
    </cfRule>
  </conditionalFormatting>
  <dataValidations disablePrompts="1" count="1">
    <dataValidation showInputMessage="1" showErrorMessage="1" sqref="K7" xr:uid="{00000000-0002-0000-0000-000000000000}"/>
  </dataValidations>
  <pageMargins left="0.7" right="0.7" top="0.75" bottom="0.75" header="0.3" footer="0.3"/>
  <pageSetup paperSize="9" orientation="portrait" horizontalDpi="4294967295" verticalDpi="4294967295"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ltText="">
                <anchor moveWithCells="1">
                  <from>
                    <xdr:col>1</xdr:col>
                    <xdr:colOff>0</xdr:colOff>
                    <xdr:row>6</xdr:row>
                    <xdr:rowOff>0</xdr:rowOff>
                  </from>
                  <to>
                    <xdr:col>2</xdr:col>
                    <xdr:colOff>0</xdr:colOff>
                    <xdr:row>7</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ltText="">
                <anchor moveWithCells="1">
                  <from>
                    <xdr:col>1</xdr:col>
                    <xdr:colOff>0</xdr:colOff>
                    <xdr:row>7</xdr:row>
                    <xdr:rowOff>0</xdr:rowOff>
                  </from>
                  <to>
                    <xdr:col>2</xdr:col>
                    <xdr:colOff>0</xdr:colOff>
                    <xdr:row>8</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ltText="">
                <anchor moveWithCells="1">
                  <from>
                    <xdr:col>1</xdr:col>
                    <xdr:colOff>0</xdr:colOff>
                    <xdr:row>8</xdr:row>
                    <xdr:rowOff>0</xdr:rowOff>
                  </from>
                  <to>
                    <xdr:col>2</xdr:col>
                    <xdr:colOff>0</xdr:colOff>
                    <xdr:row>9</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ltText="">
                <anchor moveWithCells="1">
                  <from>
                    <xdr:col>1</xdr:col>
                    <xdr:colOff>0</xdr:colOff>
                    <xdr:row>9</xdr:row>
                    <xdr:rowOff>0</xdr:rowOff>
                  </from>
                  <to>
                    <xdr:col>2</xdr:col>
                    <xdr:colOff>0</xdr:colOff>
                    <xdr:row>10</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ltText="">
                <anchor moveWithCells="1">
                  <from>
                    <xdr:col>1</xdr:col>
                    <xdr:colOff>0</xdr:colOff>
                    <xdr:row>10</xdr:row>
                    <xdr:rowOff>0</xdr:rowOff>
                  </from>
                  <to>
                    <xdr:col>2</xdr:col>
                    <xdr:colOff>0</xdr:colOff>
                    <xdr:row>11</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ltText="">
                <anchor moveWithCells="1">
                  <from>
                    <xdr:col>1</xdr:col>
                    <xdr:colOff>0</xdr:colOff>
                    <xdr:row>11</xdr:row>
                    <xdr:rowOff>0</xdr:rowOff>
                  </from>
                  <to>
                    <xdr:col>2</xdr:col>
                    <xdr:colOff>0</xdr:colOff>
                    <xdr:row>12</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ltText="">
                <anchor moveWithCells="1">
                  <from>
                    <xdr:col>1</xdr:col>
                    <xdr:colOff>0</xdr:colOff>
                    <xdr:row>12</xdr:row>
                    <xdr:rowOff>0</xdr:rowOff>
                  </from>
                  <to>
                    <xdr:col>2</xdr:col>
                    <xdr:colOff>0</xdr:colOff>
                    <xdr:row>13</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ltText="">
                <anchor moveWithCells="1">
                  <from>
                    <xdr:col>1</xdr:col>
                    <xdr:colOff>0</xdr:colOff>
                    <xdr:row>13</xdr:row>
                    <xdr:rowOff>0</xdr:rowOff>
                  </from>
                  <to>
                    <xdr:col>2</xdr:col>
                    <xdr:colOff>0</xdr:colOff>
                    <xdr:row>14</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ltText="">
                <anchor moveWithCells="1">
                  <from>
                    <xdr:col>1</xdr:col>
                    <xdr:colOff>0</xdr:colOff>
                    <xdr:row>14</xdr:row>
                    <xdr:rowOff>0</xdr:rowOff>
                  </from>
                  <to>
                    <xdr:col>2</xdr:col>
                    <xdr:colOff>0</xdr:colOff>
                    <xdr:row>15</xdr:row>
                    <xdr:rowOff>0</xdr:rowOff>
                  </to>
                </anchor>
              </controlPr>
            </control>
          </mc:Choice>
        </mc:AlternateContent>
        <mc:AlternateContent xmlns:mc="http://schemas.openxmlformats.org/markup-compatibility/2006">
          <mc:Choice Requires="x14">
            <control shapeId="2058" r:id="rId13" name="Check Box 10">
              <controlPr defaultSize="0" autoFill="0" autoLine="0" autoPict="0" altText="">
                <anchor moveWithCells="1">
                  <from>
                    <xdr:col>1</xdr:col>
                    <xdr:colOff>0</xdr:colOff>
                    <xdr:row>15</xdr:row>
                    <xdr:rowOff>0</xdr:rowOff>
                  </from>
                  <to>
                    <xdr:col>2</xdr:col>
                    <xdr:colOff>0</xdr:colOff>
                    <xdr:row>16</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ltText="">
                <anchor moveWithCells="1">
                  <from>
                    <xdr:col>1</xdr:col>
                    <xdr:colOff>0</xdr:colOff>
                    <xdr:row>16</xdr:row>
                    <xdr:rowOff>0</xdr:rowOff>
                  </from>
                  <to>
                    <xdr:col>2</xdr:col>
                    <xdr:colOff>0</xdr:colOff>
                    <xdr:row>17</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ltText="">
                <anchor moveWithCells="1">
                  <from>
                    <xdr:col>1</xdr:col>
                    <xdr:colOff>0</xdr:colOff>
                    <xdr:row>17</xdr:row>
                    <xdr:rowOff>0</xdr:rowOff>
                  </from>
                  <to>
                    <xdr:col>2</xdr:col>
                    <xdr:colOff>0</xdr:colOff>
                    <xdr:row>18</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ltText="">
                <anchor moveWithCells="1">
                  <from>
                    <xdr:col>1</xdr:col>
                    <xdr:colOff>0</xdr:colOff>
                    <xdr:row>18</xdr:row>
                    <xdr:rowOff>0</xdr:rowOff>
                  </from>
                  <to>
                    <xdr:col>2</xdr:col>
                    <xdr:colOff>0</xdr:colOff>
                    <xdr:row>19</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ltText="">
                <anchor moveWithCells="1">
                  <from>
                    <xdr:col>1</xdr:col>
                    <xdr:colOff>0</xdr:colOff>
                    <xdr:row>19</xdr:row>
                    <xdr:rowOff>0</xdr:rowOff>
                  </from>
                  <to>
                    <xdr:col>2</xdr:col>
                    <xdr:colOff>0</xdr:colOff>
                    <xdr:row>20</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ltText="">
                <anchor moveWithCells="1">
                  <from>
                    <xdr:col>1</xdr:col>
                    <xdr:colOff>0</xdr:colOff>
                    <xdr:row>20</xdr:row>
                    <xdr:rowOff>0</xdr:rowOff>
                  </from>
                  <to>
                    <xdr:col>2</xdr:col>
                    <xdr:colOff>0</xdr:colOff>
                    <xdr:row>21</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ltText="">
                <anchor moveWithCells="1">
                  <from>
                    <xdr:col>1</xdr:col>
                    <xdr:colOff>0</xdr:colOff>
                    <xdr:row>21</xdr:row>
                    <xdr:rowOff>0</xdr:rowOff>
                  </from>
                  <to>
                    <xdr:col>2</xdr:col>
                    <xdr:colOff>0</xdr:colOff>
                    <xdr:row>22</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ltText="">
                <anchor moveWithCells="1">
                  <from>
                    <xdr:col>1</xdr:col>
                    <xdr:colOff>0</xdr:colOff>
                    <xdr:row>22</xdr:row>
                    <xdr:rowOff>0</xdr:rowOff>
                  </from>
                  <to>
                    <xdr:col>2</xdr:col>
                    <xdr:colOff>0</xdr:colOff>
                    <xdr:row>23</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ltText="">
                <anchor moveWithCells="1">
                  <from>
                    <xdr:col>1</xdr:col>
                    <xdr:colOff>0</xdr:colOff>
                    <xdr:row>23</xdr:row>
                    <xdr:rowOff>0</xdr:rowOff>
                  </from>
                  <to>
                    <xdr:col>2</xdr:col>
                    <xdr:colOff>0</xdr:colOff>
                    <xdr:row>24</xdr:row>
                    <xdr:rowOff>0</xdr:rowOff>
                  </to>
                </anchor>
              </controlPr>
            </control>
          </mc:Choice>
        </mc:AlternateContent>
        <mc:AlternateContent xmlns:mc="http://schemas.openxmlformats.org/markup-compatibility/2006">
          <mc:Choice Requires="x14">
            <control shapeId="2067" r:id="rId22" name="Check Box 19">
              <controlPr defaultSize="0" autoFill="0" autoLine="0" autoPict="0" altText="">
                <anchor moveWithCells="1">
                  <from>
                    <xdr:col>1</xdr:col>
                    <xdr:colOff>0</xdr:colOff>
                    <xdr:row>24</xdr:row>
                    <xdr:rowOff>0</xdr:rowOff>
                  </from>
                  <to>
                    <xdr:col>2</xdr:col>
                    <xdr:colOff>0</xdr:colOff>
                    <xdr:row>25</xdr:row>
                    <xdr:rowOff>0</xdr:rowOff>
                  </to>
                </anchor>
              </controlPr>
            </control>
          </mc:Choice>
        </mc:AlternateContent>
        <mc:AlternateContent xmlns:mc="http://schemas.openxmlformats.org/markup-compatibility/2006">
          <mc:Choice Requires="x14">
            <control shapeId="2068" r:id="rId23" name="Check Box 20">
              <controlPr defaultSize="0" autoFill="0" autoLine="0" autoPict="0" altText="">
                <anchor moveWithCells="1">
                  <from>
                    <xdr:col>1</xdr:col>
                    <xdr:colOff>0</xdr:colOff>
                    <xdr:row>25</xdr:row>
                    <xdr:rowOff>0</xdr:rowOff>
                  </from>
                  <to>
                    <xdr:col>2</xdr:col>
                    <xdr:colOff>0</xdr:colOff>
                    <xdr:row>26</xdr:row>
                    <xdr:rowOff>0</xdr:rowOff>
                  </to>
                </anchor>
              </controlPr>
            </control>
          </mc:Choice>
        </mc:AlternateContent>
        <mc:AlternateContent xmlns:mc="http://schemas.openxmlformats.org/markup-compatibility/2006">
          <mc:Choice Requires="x14">
            <control shapeId="2069" r:id="rId24" name="Check Box 21">
              <controlPr defaultSize="0" autoFill="0" autoLine="0" autoPict="0" altText="">
                <anchor moveWithCells="1">
                  <from>
                    <xdr:col>1</xdr:col>
                    <xdr:colOff>0</xdr:colOff>
                    <xdr:row>26</xdr:row>
                    <xdr:rowOff>0</xdr:rowOff>
                  </from>
                  <to>
                    <xdr:col>2</xdr:col>
                    <xdr:colOff>0</xdr:colOff>
                    <xdr:row>27</xdr:row>
                    <xdr:rowOff>0</xdr:rowOff>
                  </to>
                </anchor>
              </controlPr>
            </control>
          </mc:Choice>
        </mc:AlternateContent>
        <mc:AlternateContent xmlns:mc="http://schemas.openxmlformats.org/markup-compatibility/2006">
          <mc:Choice Requires="x14">
            <control shapeId="2070" r:id="rId25" name="Check Box 22">
              <controlPr defaultSize="0" autoFill="0" autoLine="0" autoPict="0" altText="">
                <anchor moveWithCells="1">
                  <from>
                    <xdr:col>1</xdr:col>
                    <xdr:colOff>0</xdr:colOff>
                    <xdr:row>27</xdr:row>
                    <xdr:rowOff>0</xdr:rowOff>
                  </from>
                  <to>
                    <xdr:col>2</xdr:col>
                    <xdr:colOff>0</xdr:colOff>
                    <xdr:row>28</xdr:row>
                    <xdr:rowOff>0</xdr:rowOff>
                  </to>
                </anchor>
              </controlPr>
            </control>
          </mc:Choice>
        </mc:AlternateContent>
        <mc:AlternateContent xmlns:mc="http://schemas.openxmlformats.org/markup-compatibility/2006">
          <mc:Choice Requires="x14">
            <control shapeId="2071" r:id="rId26" name="Check Box 23">
              <controlPr defaultSize="0" autoFill="0" autoLine="0" autoPict="0" altText="">
                <anchor moveWithCells="1">
                  <from>
                    <xdr:col>1</xdr:col>
                    <xdr:colOff>0</xdr:colOff>
                    <xdr:row>28</xdr:row>
                    <xdr:rowOff>0</xdr:rowOff>
                  </from>
                  <to>
                    <xdr:col>2</xdr:col>
                    <xdr:colOff>0</xdr:colOff>
                    <xdr:row>29</xdr:row>
                    <xdr:rowOff>0</xdr:rowOff>
                  </to>
                </anchor>
              </controlPr>
            </control>
          </mc:Choice>
        </mc:AlternateContent>
        <mc:AlternateContent xmlns:mc="http://schemas.openxmlformats.org/markup-compatibility/2006">
          <mc:Choice Requires="x14">
            <control shapeId="2072" r:id="rId27" name="Check Box 24">
              <controlPr defaultSize="0" autoFill="0" autoLine="0" autoPict="0" altText="">
                <anchor moveWithCells="1">
                  <from>
                    <xdr:col>1</xdr:col>
                    <xdr:colOff>0</xdr:colOff>
                    <xdr:row>29</xdr:row>
                    <xdr:rowOff>0</xdr:rowOff>
                  </from>
                  <to>
                    <xdr:col>2</xdr:col>
                    <xdr:colOff>0</xdr:colOff>
                    <xdr:row>30</xdr:row>
                    <xdr:rowOff>0</xdr:rowOff>
                  </to>
                </anchor>
              </controlPr>
            </control>
          </mc:Choice>
        </mc:AlternateContent>
        <mc:AlternateContent xmlns:mc="http://schemas.openxmlformats.org/markup-compatibility/2006">
          <mc:Choice Requires="x14">
            <control shapeId="2073" r:id="rId28" name="Check Box 25">
              <controlPr defaultSize="0" autoFill="0" autoLine="0" autoPict="0" altText="">
                <anchor moveWithCells="1">
                  <from>
                    <xdr:col>1</xdr:col>
                    <xdr:colOff>0</xdr:colOff>
                    <xdr:row>30</xdr:row>
                    <xdr:rowOff>0</xdr:rowOff>
                  </from>
                  <to>
                    <xdr:col>2</xdr:col>
                    <xdr:colOff>0</xdr:colOff>
                    <xdr:row>31</xdr:row>
                    <xdr:rowOff>0</xdr:rowOff>
                  </to>
                </anchor>
              </controlPr>
            </control>
          </mc:Choice>
        </mc:AlternateContent>
        <mc:AlternateContent xmlns:mc="http://schemas.openxmlformats.org/markup-compatibility/2006">
          <mc:Choice Requires="x14">
            <control shapeId="2074" r:id="rId29" name="Check Box 26">
              <controlPr defaultSize="0" autoFill="0" autoLine="0" autoPict="0" altText="">
                <anchor moveWithCells="1">
                  <from>
                    <xdr:col>1</xdr:col>
                    <xdr:colOff>0</xdr:colOff>
                    <xdr:row>31</xdr:row>
                    <xdr:rowOff>0</xdr:rowOff>
                  </from>
                  <to>
                    <xdr:col>2</xdr:col>
                    <xdr:colOff>0</xdr:colOff>
                    <xdr:row>32</xdr:row>
                    <xdr:rowOff>0</xdr:rowOff>
                  </to>
                </anchor>
              </controlPr>
            </control>
          </mc:Choice>
        </mc:AlternateContent>
        <mc:AlternateContent xmlns:mc="http://schemas.openxmlformats.org/markup-compatibility/2006">
          <mc:Choice Requires="x14">
            <control shapeId="2075" r:id="rId30" name="Check Box 27">
              <controlPr defaultSize="0" autoFill="0" autoLine="0" autoPict="0" altText="">
                <anchor moveWithCells="1">
                  <from>
                    <xdr:col>1</xdr:col>
                    <xdr:colOff>0</xdr:colOff>
                    <xdr:row>32</xdr:row>
                    <xdr:rowOff>0</xdr:rowOff>
                  </from>
                  <to>
                    <xdr:col>2</xdr:col>
                    <xdr:colOff>0</xdr:colOff>
                    <xdr:row>33</xdr:row>
                    <xdr:rowOff>0</xdr:rowOff>
                  </to>
                </anchor>
              </controlPr>
            </control>
          </mc:Choice>
        </mc:AlternateContent>
        <mc:AlternateContent xmlns:mc="http://schemas.openxmlformats.org/markup-compatibility/2006">
          <mc:Choice Requires="x14">
            <control shapeId="2076" r:id="rId31" name="Check Box 28">
              <controlPr defaultSize="0" autoFill="0" autoLine="0" autoPict="0" altText="">
                <anchor moveWithCells="1">
                  <from>
                    <xdr:col>1</xdr:col>
                    <xdr:colOff>0</xdr:colOff>
                    <xdr:row>33</xdr:row>
                    <xdr:rowOff>0</xdr:rowOff>
                  </from>
                  <to>
                    <xdr:col>2</xdr:col>
                    <xdr:colOff>0</xdr:colOff>
                    <xdr:row>34</xdr:row>
                    <xdr:rowOff>0</xdr:rowOff>
                  </to>
                </anchor>
              </controlPr>
            </control>
          </mc:Choice>
        </mc:AlternateContent>
        <mc:AlternateContent xmlns:mc="http://schemas.openxmlformats.org/markup-compatibility/2006">
          <mc:Choice Requires="x14">
            <control shapeId="2077" r:id="rId32" name="Check Box 29">
              <controlPr defaultSize="0" autoFill="0" autoLine="0" autoPict="0" altText="">
                <anchor moveWithCells="1">
                  <from>
                    <xdr:col>1</xdr:col>
                    <xdr:colOff>0</xdr:colOff>
                    <xdr:row>34</xdr:row>
                    <xdr:rowOff>0</xdr:rowOff>
                  </from>
                  <to>
                    <xdr:col>2</xdr:col>
                    <xdr:colOff>0</xdr:colOff>
                    <xdr:row>35</xdr:row>
                    <xdr:rowOff>0</xdr:rowOff>
                  </to>
                </anchor>
              </controlPr>
            </control>
          </mc:Choice>
        </mc:AlternateContent>
        <mc:AlternateContent xmlns:mc="http://schemas.openxmlformats.org/markup-compatibility/2006">
          <mc:Choice Requires="x14">
            <control shapeId="2078" r:id="rId33" name="Check Box 30">
              <controlPr defaultSize="0" autoFill="0" autoLine="0" autoPict="0" altText="">
                <anchor moveWithCells="1">
                  <from>
                    <xdr:col>1</xdr:col>
                    <xdr:colOff>0</xdr:colOff>
                    <xdr:row>35</xdr:row>
                    <xdr:rowOff>0</xdr:rowOff>
                  </from>
                  <to>
                    <xdr:col>2</xdr:col>
                    <xdr:colOff>0</xdr:colOff>
                    <xdr:row>36</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theme="4" tint="-0.499984740745262"/>
  </sheetPr>
  <dimension ref="A1:CQ96"/>
  <sheetViews>
    <sheetView zoomScaleNormal="100" workbookViewId="0">
      <pane xSplit="5" ySplit="6" topLeftCell="F55" activePane="bottomRight" state="frozen"/>
      <selection pane="topRight" activeCell="F1" sqref="F1"/>
      <selection pane="bottomLeft" activeCell="A5" sqref="A5"/>
      <selection pane="bottomRight" activeCell="F64" sqref="F64:H64"/>
    </sheetView>
  </sheetViews>
  <sheetFormatPr baseColWidth="10" defaultColWidth="11.42578125" defaultRowHeight="15" x14ac:dyDescent="0.25"/>
  <cols>
    <col min="1" max="2" width="5" style="1" customWidth="1"/>
    <col min="3" max="3" width="5" style="2" customWidth="1"/>
    <col min="4" max="4" width="35.7109375" style="2" customWidth="1"/>
    <col min="5" max="5" width="21.42578125" style="2" customWidth="1"/>
    <col min="6" max="6" width="6.42578125" customWidth="1"/>
    <col min="7" max="7" width="12.85546875" customWidth="1"/>
    <col min="8" max="8" width="21.42578125" customWidth="1"/>
    <col min="9" max="9" width="6.42578125" customWidth="1"/>
    <col min="10" max="10" width="12.85546875" customWidth="1"/>
    <col min="11" max="11" width="21.42578125" customWidth="1"/>
    <col min="12" max="12" width="6.42578125" customWidth="1"/>
    <col min="13" max="13" width="12.85546875" customWidth="1"/>
    <col min="14" max="14" width="21.42578125" customWidth="1"/>
    <col min="15" max="15" width="6.42578125" customWidth="1"/>
    <col min="16" max="16" width="12.85546875" customWidth="1"/>
    <col min="17" max="17" width="21.42578125" customWidth="1"/>
    <col min="18" max="18" width="6.42578125" customWidth="1"/>
    <col min="19" max="19" width="12.85546875" customWidth="1"/>
    <col min="20" max="20" width="21.42578125" customWidth="1"/>
    <col min="21" max="21" width="6.42578125" customWidth="1"/>
    <col min="22" max="22" width="12.85546875" customWidth="1"/>
    <col min="23" max="23" width="21.42578125" customWidth="1"/>
    <col min="24" max="24" width="6.42578125" customWidth="1"/>
    <col min="25" max="25" width="12.85546875" customWidth="1"/>
    <col min="26" max="26" width="21.42578125" customWidth="1"/>
    <col min="27" max="27" width="6.42578125" customWidth="1"/>
    <col min="28" max="28" width="12.85546875" customWidth="1"/>
    <col min="29" max="29" width="21.42578125" customWidth="1"/>
    <col min="30" max="30" width="6.42578125" customWidth="1"/>
    <col min="31" max="31" width="12.85546875" customWidth="1"/>
    <col min="32" max="32" width="21.42578125" customWidth="1"/>
    <col min="33" max="33" width="6.42578125" customWidth="1"/>
    <col min="34" max="34" width="12.85546875" customWidth="1"/>
    <col min="35" max="35" width="21.42578125" customWidth="1"/>
    <col min="36" max="36" width="6.42578125" customWidth="1"/>
    <col min="37" max="37" width="12.85546875" customWidth="1"/>
    <col min="38" max="38" width="21.42578125" customWidth="1"/>
    <col min="39" max="39" width="6.42578125" customWidth="1"/>
    <col min="40" max="40" width="12.85546875" customWidth="1"/>
    <col min="41" max="41" width="21.42578125" customWidth="1"/>
    <col min="42" max="42" width="6.42578125" customWidth="1"/>
    <col min="43" max="43" width="12.85546875" customWidth="1"/>
    <col min="44" max="44" width="21.42578125" customWidth="1"/>
    <col min="45" max="45" width="6.42578125" customWidth="1"/>
    <col min="46" max="46" width="12.85546875" customWidth="1"/>
    <col min="47" max="47" width="21.42578125" customWidth="1"/>
    <col min="48" max="48" width="6.42578125" customWidth="1"/>
    <col min="49" max="49" width="12.85546875" customWidth="1"/>
    <col min="50" max="50" width="21.42578125" customWidth="1"/>
    <col min="51" max="51" width="6.42578125" customWidth="1"/>
    <col min="52" max="52" width="12.85546875" customWidth="1"/>
    <col min="53" max="53" width="21.42578125" customWidth="1"/>
    <col min="54" max="54" width="6.42578125" customWidth="1"/>
    <col min="55" max="55" width="12.85546875" customWidth="1"/>
    <col min="56" max="56" width="21.42578125" customWidth="1"/>
    <col min="57" max="57" width="6.42578125" customWidth="1"/>
    <col min="58" max="58" width="12.85546875" customWidth="1"/>
    <col min="59" max="59" width="21.42578125" customWidth="1"/>
    <col min="60" max="60" width="6.42578125" customWidth="1"/>
    <col min="61" max="61" width="12.85546875" customWidth="1"/>
    <col min="62" max="62" width="21.42578125" customWidth="1"/>
    <col min="63" max="63" width="6.42578125" customWidth="1"/>
    <col min="64" max="64" width="12.85546875" customWidth="1"/>
    <col min="65" max="65" width="21.42578125" customWidth="1"/>
    <col min="66" max="66" width="6.42578125" customWidth="1"/>
    <col min="67" max="67" width="12.85546875" customWidth="1"/>
    <col min="68" max="68" width="21.42578125" customWidth="1"/>
    <col min="69" max="69" width="6.42578125" customWidth="1"/>
    <col min="70" max="70" width="12.85546875" customWidth="1"/>
    <col min="71" max="71" width="21.42578125" customWidth="1"/>
    <col min="72" max="72" width="6.42578125" customWidth="1"/>
    <col min="73" max="73" width="12.85546875" customWidth="1"/>
    <col min="74" max="74" width="21.42578125" customWidth="1"/>
    <col min="75" max="75" width="6.42578125" customWidth="1"/>
    <col min="76" max="76" width="12.85546875" customWidth="1"/>
    <col min="77" max="77" width="21.42578125" customWidth="1"/>
    <col min="78" max="78" width="6.42578125" customWidth="1"/>
    <col min="79" max="79" width="12.85546875" customWidth="1"/>
    <col min="80" max="80" width="21.42578125" customWidth="1"/>
    <col min="81" max="81" width="6.42578125" customWidth="1"/>
    <col min="82" max="82" width="12.85546875" customWidth="1"/>
    <col min="83" max="83" width="21.42578125" customWidth="1"/>
    <col min="84" max="84" width="6.42578125" customWidth="1"/>
    <col min="85" max="85" width="12.85546875" customWidth="1"/>
    <col min="86" max="86" width="21.42578125" customWidth="1"/>
    <col min="87" max="87" width="6.42578125" customWidth="1"/>
    <col min="88" max="88" width="12.85546875" customWidth="1"/>
    <col min="89" max="89" width="21.42578125" customWidth="1"/>
    <col min="90" max="90" width="6.42578125" customWidth="1"/>
    <col min="91" max="91" width="12.85546875" customWidth="1"/>
    <col min="92" max="92" width="21.42578125" customWidth="1"/>
    <col min="93" max="93" width="6.42578125" customWidth="1"/>
    <col min="94" max="94" width="12.85546875" customWidth="1"/>
    <col min="95" max="95" width="21.42578125" customWidth="1"/>
  </cols>
  <sheetData>
    <row r="1" spans="1:95" s="3" customFormat="1" x14ac:dyDescent="0.25">
      <c r="A1" s="5"/>
      <c r="B1" s="5"/>
      <c r="C1" s="6"/>
      <c r="D1" s="6"/>
      <c r="E1" s="6"/>
    </row>
    <row r="2" spans="1:95" s="3" customFormat="1" x14ac:dyDescent="0.25">
      <c r="A2" s="5"/>
      <c r="B2" s="5"/>
      <c r="C2" s="6"/>
      <c r="D2" s="6"/>
      <c r="E2" s="6"/>
    </row>
    <row r="3" spans="1:95" s="10" customFormat="1" ht="27" customHeight="1" x14ac:dyDescent="0.25">
      <c r="A3" s="356" t="s">
        <v>58</v>
      </c>
      <c r="B3" s="356"/>
      <c r="C3" s="356"/>
      <c r="D3" s="356"/>
      <c r="E3" s="357"/>
    </row>
    <row r="4" spans="1:95" s="10" customFormat="1" x14ac:dyDescent="0.25">
      <c r="A4" s="40"/>
      <c r="B4" s="40"/>
      <c r="C4" s="9"/>
      <c r="D4" s="9"/>
      <c r="E4" s="9"/>
    </row>
    <row r="5" spans="1:95" s="10" customFormat="1" ht="17.25" customHeight="1" thickBot="1" x14ac:dyDescent="0.3">
      <c r="A5" s="7" t="s">
        <v>59</v>
      </c>
      <c r="B5" s="8"/>
      <c r="C5" s="7"/>
      <c r="D5" s="9"/>
      <c r="E5" s="9"/>
    </row>
    <row r="6" spans="1:95" s="14" customFormat="1" ht="30" customHeight="1" x14ac:dyDescent="0.2">
      <c r="A6" s="59" t="s">
        <v>60</v>
      </c>
      <c r="B6" s="60" t="s">
        <v>61</v>
      </c>
      <c r="C6" s="60" t="s">
        <v>62</v>
      </c>
      <c r="D6" s="303" t="s">
        <v>63</v>
      </c>
      <c r="E6" s="304"/>
      <c r="F6" s="303" t="str">
        <f>IF(SUMMARY!C7="","",SUMMARY!I7)</f>
        <v>Gaca, 2011</v>
      </c>
      <c r="G6" s="345"/>
      <c r="H6" s="304"/>
      <c r="I6" s="303" t="str">
        <f>IF(SUMMARY!C8="","",SUMMARY!I8)</f>
        <v>De Feo, 2012</v>
      </c>
      <c r="J6" s="345" t="s">
        <v>64</v>
      </c>
      <c r="K6" s="304" t="s">
        <v>65</v>
      </c>
      <c r="L6" s="303" t="str">
        <f>IF(SUMMARY!C9="","",SUMMARY!I9)</f>
        <v>Martínez-Sellés, 2014</v>
      </c>
      <c r="M6" s="345"/>
      <c r="N6" s="304"/>
      <c r="O6" s="303" t="str">
        <f>IF(SUMMARY!C10="","",SUMMARY!I10)</f>
        <v>Madeira, 2016</v>
      </c>
      <c r="P6" s="345"/>
      <c r="Q6" s="304"/>
      <c r="R6" s="303" t="str">
        <f>IF(SUMMARY!C11="","",SUMMARY!I11)</f>
        <v>Gatti (a), 2017</v>
      </c>
      <c r="S6" s="345"/>
      <c r="T6" s="304"/>
      <c r="U6" s="303" t="str">
        <f>IF(SUMMARY!C12="","",SUMMARY!I12)</f>
        <v>Gatti (b), 2017</v>
      </c>
      <c r="V6" s="345"/>
      <c r="W6" s="304"/>
      <c r="X6" s="303" t="str">
        <f>IF(SUMMARY!C13="","",SUMMARY!I13)</f>
        <v>Di Mauro, 2017</v>
      </c>
      <c r="Y6" s="345"/>
      <c r="Z6" s="304"/>
      <c r="AA6" s="303" t="str">
        <f>IF(SUMMARY!C14="","",SUMMARY!I14)</f>
        <v>Gatti (c), 2017</v>
      </c>
      <c r="AB6" s="345"/>
      <c r="AC6" s="304"/>
      <c r="AD6" s="303" t="str">
        <f>IF(SUMMARY!C15="","",SUMMARY!I15)</f>
        <v>Olmos, 2017</v>
      </c>
      <c r="AE6" s="345"/>
      <c r="AF6" s="304"/>
      <c r="AG6" s="303" t="str">
        <f>IF(SUMMARY!C16="","",SUMMARY!I16)</f>
        <v>Fernández-Hidalgo (a), 2018</v>
      </c>
      <c r="AH6" s="345"/>
      <c r="AI6" s="304"/>
      <c r="AJ6" s="303" t="str">
        <f>IF(SUMMARY!C17="","",SUMMARY!I17)</f>
        <v>Fernández-Hidalgo (b), 2018</v>
      </c>
      <c r="AK6" s="345"/>
      <c r="AL6" s="304"/>
      <c r="AM6" s="303" t="str">
        <f>IF(SUMMARY!C18="","",SUMMARY!I18)</f>
        <v/>
      </c>
      <c r="AN6" s="345"/>
      <c r="AO6" s="304"/>
      <c r="AP6" s="303" t="str">
        <f>IF(SUMMARY!C19="","",SUMMARY!I19)</f>
        <v/>
      </c>
      <c r="AQ6" s="345"/>
      <c r="AR6" s="304"/>
      <c r="AS6" s="303" t="str">
        <f>IF(SUMMARY!C20="","",SUMMARY!I20)</f>
        <v/>
      </c>
      <c r="AT6" s="345"/>
      <c r="AU6" s="304"/>
      <c r="AV6" s="303" t="str">
        <f>IF(SUMMARY!C21="","",SUMMARY!I21)</f>
        <v/>
      </c>
      <c r="AW6" s="345"/>
      <c r="AX6" s="304"/>
      <c r="AY6" s="303" t="str">
        <f>IF(SUMMARY!C22="","",SUMMARY!I22)</f>
        <v/>
      </c>
      <c r="AZ6" s="345"/>
      <c r="BA6" s="304"/>
      <c r="BB6" s="303" t="str">
        <f>IF(SUMMARY!C23="","",SUMMARY!I23)</f>
        <v/>
      </c>
      <c r="BC6" s="345"/>
      <c r="BD6" s="304"/>
      <c r="BE6" s="303" t="str">
        <f>IF(SUMMARY!C24="","",SUMMARY!I24)</f>
        <v/>
      </c>
      <c r="BF6" s="345"/>
      <c r="BG6" s="304"/>
      <c r="BH6" s="303" t="str">
        <f>IF(SUMMARY!C25="","",SUMMARY!I25)</f>
        <v/>
      </c>
      <c r="BI6" s="345"/>
      <c r="BJ6" s="304"/>
      <c r="BK6" s="303" t="str">
        <f>IF(SUMMARY!C26="","",SUMMARY!I26)</f>
        <v/>
      </c>
      <c r="BL6" s="345"/>
      <c r="BM6" s="304"/>
      <c r="BN6" s="303" t="str">
        <f>IF(SUMMARY!C27="","",SUMMARY!I27)</f>
        <v/>
      </c>
      <c r="BO6" s="345"/>
      <c r="BP6" s="304"/>
      <c r="BQ6" s="303" t="str">
        <f>IF(SUMMARY!C28="","",SUMMARY!I28)</f>
        <v/>
      </c>
      <c r="BR6" s="345"/>
      <c r="BS6" s="304"/>
      <c r="BT6" s="303" t="str">
        <f>IF(SUMMARY!C29="","",SUMMARY!I29)</f>
        <v/>
      </c>
      <c r="BU6" s="345"/>
      <c r="BV6" s="304"/>
      <c r="BW6" s="303" t="str">
        <f>IF(SUMMARY!C30="","",SUMMARY!I30)</f>
        <v/>
      </c>
      <c r="BX6" s="345"/>
      <c r="BY6" s="304"/>
      <c r="BZ6" s="303" t="str">
        <f>IF(SUMMARY!C31="","",SUMMARY!I31)</f>
        <v/>
      </c>
      <c r="CA6" s="345"/>
      <c r="CB6" s="304"/>
      <c r="CC6" s="303" t="str">
        <f>IF(SUMMARY!C32="","",SUMMARY!I32)</f>
        <v/>
      </c>
      <c r="CD6" s="345"/>
      <c r="CE6" s="304"/>
      <c r="CF6" s="303" t="str">
        <f>IF(SUMMARY!C33="","",SUMMARY!I33)</f>
        <v/>
      </c>
      <c r="CG6" s="345"/>
      <c r="CH6" s="304"/>
      <c r="CI6" s="303" t="str">
        <f>IF(SUMMARY!C34="","",SUMMARY!I34)</f>
        <v/>
      </c>
      <c r="CJ6" s="345"/>
      <c r="CK6" s="304"/>
      <c r="CL6" s="303" t="str">
        <f>IF(SUMMARY!C35="","",SUMMARY!I35)</f>
        <v/>
      </c>
      <c r="CM6" s="345"/>
      <c r="CN6" s="345"/>
      <c r="CO6" s="303" t="str">
        <f>IF(SUMMARY!C36="","",SUMMARY!I36)</f>
        <v/>
      </c>
      <c r="CP6" s="345"/>
      <c r="CQ6" s="345"/>
    </row>
    <row r="7" spans="1:95" ht="18.75" customHeight="1" x14ac:dyDescent="0.25">
      <c r="A7" s="287" t="s">
        <v>66</v>
      </c>
      <c r="B7" s="287"/>
      <c r="C7" s="287"/>
      <c r="D7" s="287"/>
      <c r="E7" s="305"/>
      <c r="F7" s="354"/>
      <c r="G7" s="355"/>
      <c r="H7" s="355"/>
      <c r="I7" s="355"/>
      <c r="J7" s="355"/>
      <c r="K7" s="355"/>
      <c r="L7" s="355"/>
      <c r="M7" s="355"/>
      <c r="N7" s="355"/>
      <c r="O7" s="355"/>
      <c r="P7" s="355"/>
      <c r="Q7" s="355"/>
      <c r="R7" s="355"/>
      <c r="S7" s="355"/>
      <c r="T7" s="355"/>
      <c r="U7" s="355"/>
      <c r="V7" s="355"/>
      <c r="W7" s="355"/>
      <c r="X7" s="355"/>
      <c r="Y7" s="355"/>
      <c r="Z7" s="355"/>
      <c r="AA7" s="355"/>
      <c r="AB7" s="355"/>
      <c r="AC7" s="355"/>
      <c r="AD7" s="355"/>
      <c r="AE7" s="355"/>
      <c r="AF7" s="355"/>
      <c r="AG7" s="355"/>
      <c r="AH7" s="355"/>
      <c r="AI7" s="355"/>
      <c r="AJ7" s="354"/>
      <c r="AK7" s="355"/>
      <c r="AL7" s="355"/>
      <c r="AM7" s="355"/>
      <c r="AN7" s="355"/>
      <c r="AO7" s="355"/>
      <c r="AP7" s="355"/>
      <c r="AQ7" s="355"/>
      <c r="AR7" s="355"/>
      <c r="AS7" s="355"/>
      <c r="AT7" s="355"/>
      <c r="AU7" s="355"/>
      <c r="AV7" s="355"/>
      <c r="AW7" s="355"/>
      <c r="AX7" s="355"/>
      <c r="AY7" s="355"/>
      <c r="AZ7" s="355"/>
      <c r="BA7" s="355"/>
      <c r="BB7" s="355"/>
      <c r="BC7" s="355"/>
      <c r="BD7" s="355"/>
      <c r="BE7" s="355"/>
      <c r="BF7" s="355"/>
      <c r="BG7" s="355"/>
      <c r="BH7" s="355"/>
      <c r="BI7" s="355"/>
      <c r="BJ7" s="355"/>
      <c r="BK7" s="355"/>
      <c r="BL7" s="355"/>
      <c r="BM7" s="355"/>
      <c r="BN7" s="355"/>
      <c r="BO7" s="355"/>
      <c r="BP7" s="355"/>
      <c r="BQ7" s="355"/>
      <c r="BR7" s="355"/>
      <c r="BS7" s="355"/>
      <c r="BT7" s="355"/>
      <c r="BU7" s="355"/>
      <c r="BV7" s="355"/>
      <c r="BW7" s="355"/>
      <c r="BX7" s="355"/>
      <c r="BY7" s="355"/>
      <c r="BZ7" s="355"/>
      <c r="CA7" s="355"/>
      <c r="CB7" s="355"/>
      <c r="CC7" s="355"/>
      <c r="CD7" s="355"/>
      <c r="CE7" s="355"/>
      <c r="CF7" s="355"/>
      <c r="CG7" s="355"/>
      <c r="CH7" s="355"/>
      <c r="CI7" s="355"/>
      <c r="CJ7" s="355"/>
      <c r="CK7" s="355"/>
      <c r="CL7" s="355"/>
      <c r="CM7" s="355"/>
      <c r="CN7" s="355"/>
      <c r="CO7" s="354"/>
      <c r="CP7" s="355"/>
      <c r="CQ7" s="355"/>
    </row>
    <row r="8" spans="1:95" s="14" customFormat="1" ht="15" customHeight="1" x14ac:dyDescent="0.2">
      <c r="A8" s="61" t="s">
        <v>67</v>
      </c>
      <c r="B8" s="61"/>
      <c r="C8" s="61"/>
      <c r="D8" s="292" t="s">
        <v>68</v>
      </c>
      <c r="E8" s="293"/>
      <c r="F8" s="332" t="str">
        <f>IF(SUMMARY!$D7="","",SUMMARY!$D7)</f>
        <v>Gaca</v>
      </c>
      <c r="G8" s="333"/>
      <c r="H8" s="333"/>
      <c r="I8" s="332" t="str">
        <f>IF(SUMMARY!$D8="","",SUMMARY!$D8)</f>
        <v>De Feo</v>
      </c>
      <c r="J8" s="333"/>
      <c r="K8" s="333"/>
      <c r="L8" s="332" t="str">
        <f>IF(SUMMARY!$D9="","",SUMMARY!$D9)</f>
        <v>Martínez-Sellés</v>
      </c>
      <c r="M8" s="333"/>
      <c r="N8" s="333"/>
      <c r="O8" s="332" t="str">
        <f>IF(SUMMARY!$D10="","",SUMMARY!$D10)</f>
        <v>Madeira</v>
      </c>
      <c r="P8" s="333"/>
      <c r="Q8" s="333"/>
      <c r="R8" s="332" t="str">
        <f>IF(SUMMARY!$D11="","",SUMMARY!$D11)</f>
        <v>Gatti (a)</v>
      </c>
      <c r="S8" s="333"/>
      <c r="T8" s="333"/>
      <c r="U8" s="332" t="str">
        <f>IF(SUMMARY!$D12="","",SUMMARY!$D12)</f>
        <v>Gatti (b)</v>
      </c>
      <c r="V8" s="333"/>
      <c r="W8" s="333"/>
      <c r="X8" s="332" t="str">
        <f>IF(SUMMARY!$D13="","",SUMMARY!$D13)</f>
        <v>Di Mauro</v>
      </c>
      <c r="Y8" s="333"/>
      <c r="Z8" s="333"/>
      <c r="AA8" s="332" t="str">
        <f>IF(SUMMARY!$D14="","",SUMMARY!$D14)</f>
        <v>Gatti (c)</v>
      </c>
      <c r="AB8" s="333"/>
      <c r="AC8" s="333"/>
      <c r="AD8" s="332" t="str">
        <f>IF(SUMMARY!$D15="","",SUMMARY!$D15)</f>
        <v>Olmos</v>
      </c>
      <c r="AE8" s="333"/>
      <c r="AF8" s="333"/>
      <c r="AG8" s="332" t="str">
        <f>IF(SUMMARY!$D16="","",SUMMARY!$D16)</f>
        <v>Fernández-Hidalgo (a)</v>
      </c>
      <c r="AH8" s="333"/>
      <c r="AI8" s="333"/>
      <c r="AJ8" s="332" t="str">
        <f>IF(SUMMARY!$D17="","",SUMMARY!$D17)</f>
        <v>Fernández-Hidalgo (b)</v>
      </c>
      <c r="AK8" s="333"/>
      <c r="AL8" s="333"/>
      <c r="AM8" s="332" t="str">
        <f>IF(SUMMARY!$D18="","",SUMMARY!$D18)</f>
        <v/>
      </c>
      <c r="AN8" s="333"/>
      <c r="AO8" s="333"/>
      <c r="AP8" s="332" t="str">
        <f>IF(SUMMARY!$D19="","",SUMMARY!$D19)</f>
        <v/>
      </c>
      <c r="AQ8" s="333"/>
      <c r="AR8" s="333"/>
      <c r="AS8" s="332" t="str">
        <f>IF(SUMMARY!$D20="","",SUMMARY!$D20)</f>
        <v/>
      </c>
      <c r="AT8" s="333"/>
      <c r="AU8" s="333"/>
      <c r="AV8" s="332" t="str">
        <f>IF(SUMMARY!$D21="","",SUMMARY!$D21)</f>
        <v/>
      </c>
      <c r="AW8" s="333"/>
      <c r="AX8" s="333"/>
      <c r="AY8" s="332" t="str">
        <f>IF(SUMMARY!$D22="","",SUMMARY!$D22)</f>
        <v/>
      </c>
      <c r="AZ8" s="333"/>
      <c r="BA8" s="333"/>
      <c r="BB8" s="332" t="str">
        <f>IF(SUMMARY!$D23="","",SUMMARY!$D23)</f>
        <v/>
      </c>
      <c r="BC8" s="333"/>
      <c r="BD8" s="333"/>
      <c r="BE8" s="332" t="str">
        <f>IF(SUMMARY!$D24="","",SUMMARY!$D24)</f>
        <v/>
      </c>
      <c r="BF8" s="333"/>
      <c r="BG8" s="333"/>
      <c r="BH8" s="332" t="str">
        <f>IF(SUMMARY!$D25="","",SUMMARY!$D25)</f>
        <v/>
      </c>
      <c r="BI8" s="333"/>
      <c r="BJ8" s="333"/>
      <c r="BK8" s="332" t="str">
        <f>IF(SUMMARY!$D26="","",SUMMARY!$D26)</f>
        <v/>
      </c>
      <c r="BL8" s="333"/>
      <c r="BM8" s="333"/>
      <c r="BN8" s="332" t="str">
        <f>IF(SUMMARY!$D27="","",SUMMARY!$D27)</f>
        <v/>
      </c>
      <c r="BO8" s="333"/>
      <c r="BP8" s="333"/>
      <c r="BQ8" s="332" t="str">
        <f>IF(SUMMARY!$D28="","",SUMMARY!$D28)</f>
        <v/>
      </c>
      <c r="BR8" s="333"/>
      <c r="BS8" s="333"/>
      <c r="BT8" s="332" t="str">
        <f>IF(SUMMARY!$D29="","",SUMMARY!$D29)</f>
        <v/>
      </c>
      <c r="BU8" s="333"/>
      <c r="BV8" s="333"/>
      <c r="BW8" s="332" t="str">
        <f>IF(SUMMARY!$D30="","",SUMMARY!$D30)</f>
        <v/>
      </c>
      <c r="BX8" s="333"/>
      <c r="BY8" s="333"/>
      <c r="BZ8" s="332" t="str">
        <f>IF(SUMMARY!$D31="","",SUMMARY!$D31)</f>
        <v/>
      </c>
      <c r="CA8" s="333"/>
      <c r="CB8" s="333"/>
      <c r="CC8" s="332" t="str">
        <f>IF(SUMMARY!$D32="","",SUMMARY!$D32)</f>
        <v/>
      </c>
      <c r="CD8" s="333"/>
      <c r="CE8" s="333"/>
      <c r="CF8" s="332" t="str">
        <f>IF(SUMMARY!$D33="","",SUMMARY!$D33)</f>
        <v/>
      </c>
      <c r="CG8" s="333"/>
      <c r="CH8" s="333"/>
      <c r="CI8" s="332" t="str">
        <f>IF(SUMMARY!$D34="","",SUMMARY!$D34)</f>
        <v/>
      </c>
      <c r="CJ8" s="333"/>
      <c r="CK8" s="333"/>
      <c r="CL8" s="332" t="str">
        <f>IF(SUMMARY!$D35="","",SUMMARY!$D35)</f>
        <v/>
      </c>
      <c r="CM8" s="333"/>
      <c r="CN8" s="333"/>
      <c r="CO8" s="332" t="str">
        <f>IF(SUMMARY!$D36="","",SUMMARY!$D36)</f>
        <v/>
      </c>
      <c r="CP8" s="333"/>
      <c r="CQ8" s="333"/>
    </row>
    <row r="9" spans="1:95" s="14" customFormat="1" ht="15" customHeight="1" x14ac:dyDescent="0.2">
      <c r="A9" s="62" t="s">
        <v>67</v>
      </c>
      <c r="B9" s="62"/>
      <c r="C9" s="62"/>
      <c r="D9" s="290" t="s">
        <v>69</v>
      </c>
      <c r="E9" s="291"/>
      <c r="F9" s="346">
        <f>IF(SUMMARY!$E7="","",SUMMARY!$E7)</f>
        <v>2011</v>
      </c>
      <c r="G9" s="347"/>
      <c r="H9" s="352"/>
      <c r="I9" s="346">
        <f>IF(SUMMARY!$E8="","",SUMMARY!$E8)</f>
        <v>2012</v>
      </c>
      <c r="J9" s="347"/>
      <c r="K9" s="352"/>
      <c r="L9" s="346">
        <f>IF(SUMMARY!$E9="","",SUMMARY!$E9)</f>
        <v>2014</v>
      </c>
      <c r="M9" s="347"/>
      <c r="N9" s="352"/>
      <c r="O9" s="346">
        <f>IF(SUMMARY!$E10="","",SUMMARY!$E10)</f>
        <v>2016</v>
      </c>
      <c r="P9" s="347"/>
      <c r="Q9" s="352"/>
      <c r="R9" s="346">
        <f>IF(SUMMARY!$E11="","",SUMMARY!$E11)</f>
        <v>2017</v>
      </c>
      <c r="S9" s="347"/>
      <c r="T9" s="352"/>
      <c r="U9" s="346">
        <f>IF(SUMMARY!$E12="","",SUMMARY!$E12)</f>
        <v>2017</v>
      </c>
      <c r="V9" s="347"/>
      <c r="W9" s="352"/>
      <c r="X9" s="346">
        <f>IF(SUMMARY!$E13="","",SUMMARY!$E13)</f>
        <v>2017</v>
      </c>
      <c r="Y9" s="347"/>
      <c r="Z9" s="352"/>
      <c r="AA9" s="346">
        <f>IF(SUMMARY!$E14="","",SUMMARY!$E14)</f>
        <v>2017</v>
      </c>
      <c r="AB9" s="347"/>
      <c r="AC9" s="352"/>
      <c r="AD9" s="346">
        <f>IF(SUMMARY!$E15="","",SUMMARY!$E15)</f>
        <v>2017</v>
      </c>
      <c r="AE9" s="347"/>
      <c r="AF9" s="352"/>
      <c r="AG9" s="346">
        <f>IF(SUMMARY!$E16="","",SUMMARY!$E16)</f>
        <v>2018</v>
      </c>
      <c r="AH9" s="347"/>
      <c r="AI9" s="352"/>
      <c r="AJ9" s="346">
        <f>IF(SUMMARY!$E17="","",SUMMARY!$E17)</f>
        <v>2018</v>
      </c>
      <c r="AK9" s="347"/>
      <c r="AL9" s="352"/>
      <c r="AM9" s="346" t="str">
        <f>IF(SUMMARY!$E18="","",SUMMARY!$E18)</f>
        <v/>
      </c>
      <c r="AN9" s="347"/>
      <c r="AO9" s="352"/>
      <c r="AP9" s="346" t="str">
        <f>IF(SUMMARY!$E19="","",SUMMARY!$E19)</f>
        <v/>
      </c>
      <c r="AQ9" s="347"/>
      <c r="AR9" s="352"/>
      <c r="AS9" s="346" t="str">
        <f>IF(SUMMARY!$E20="","",SUMMARY!$E20)</f>
        <v/>
      </c>
      <c r="AT9" s="347"/>
      <c r="AU9" s="352"/>
      <c r="AV9" s="346" t="str">
        <f>IF(SUMMARY!$E21="","",SUMMARY!$E21)</f>
        <v/>
      </c>
      <c r="AW9" s="347"/>
      <c r="AX9" s="352"/>
      <c r="AY9" s="346" t="str">
        <f>IF(SUMMARY!$E22="","",SUMMARY!$E22)</f>
        <v/>
      </c>
      <c r="AZ9" s="347"/>
      <c r="BA9" s="352"/>
      <c r="BB9" s="346" t="str">
        <f>IF(SUMMARY!$E23="","",SUMMARY!$E23)</f>
        <v/>
      </c>
      <c r="BC9" s="347"/>
      <c r="BD9" s="352"/>
      <c r="BE9" s="346" t="str">
        <f>IF(SUMMARY!$E24="","",SUMMARY!$E24)</f>
        <v/>
      </c>
      <c r="BF9" s="347"/>
      <c r="BG9" s="352"/>
      <c r="BH9" s="346" t="str">
        <f>IF(SUMMARY!$E25="","",SUMMARY!$E25)</f>
        <v/>
      </c>
      <c r="BI9" s="347"/>
      <c r="BJ9" s="352"/>
      <c r="BK9" s="346" t="str">
        <f>IF(SUMMARY!$E26="","",SUMMARY!$E26)</f>
        <v/>
      </c>
      <c r="BL9" s="347"/>
      <c r="BM9" s="352"/>
      <c r="BN9" s="346" t="str">
        <f>IF(SUMMARY!$E27="","",SUMMARY!$E27)</f>
        <v/>
      </c>
      <c r="BO9" s="347"/>
      <c r="BP9" s="352"/>
      <c r="BQ9" s="346" t="str">
        <f>IF(SUMMARY!$E28="","",SUMMARY!$E28)</f>
        <v/>
      </c>
      <c r="BR9" s="347"/>
      <c r="BS9" s="352"/>
      <c r="BT9" s="346" t="str">
        <f>IF(SUMMARY!$E29="","",SUMMARY!$E29)</f>
        <v/>
      </c>
      <c r="BU9" s="347"/>
      <c r="BV9" s="352"/>
      <c r="BW9" s="346" t="str">
        <f>IF(SUMMARY!$E30="","",SUMMARY!$E30)</f>
        <v/>
      </c>
      <c r="BX9" s="347"/>
      <c r="BY9" s="352"/>
      <c r="BZ9" s="346" t="str">
        <f>IF(SUMMARY!$E31="","",SUMMARY!$E31)</f>
        <v/>
      </c>
      <c r="CA9" s="347"/>
      <c r="CB9" s="352"/>
      <c r="CC9" s="346" t="str">
        <f>IF(SUMMARY!$E32="","",SUMMARY!$E32)</f>
        <v/>
      </c>
      <c r="CD9" s="347"/>
      <c r="CE9" s="352"/>
      <c r="CF9" s="346" t="str">
        <f>IF(SUMMARY!$E33="","",SUMMARY!$E33)</f>
        <v/>
      </c>
      <c r="CG9" s="347"/>
      <c r="CH9" s="352"/>
      <c r="CI9" s="346" t="str">
        <f>IF(SUMMARY!$E34="","",SUMMARY!$E34)</f>
        <v/>
      </c>
      <c r="CJ9" s="347"/>
      <c r="CK9" s="352"/>
      <c r="CL9" s="346" t="str">
        <f>IF(SUMMARY!$E35="","",SUMMARY!$E35)</f>
        <v/>
      </c>
      <c r="CM9" s="347"/>
      <c r="CN9" s="347"/>
      <c r="CO9" s="346" t="str">
        <f>IF(SUMMARY!$E36="","",SUMMARY!$E36)</f>
        <v/>
      </c>
      <c r="CP9" s="347"/>
      <c r="CQ9" s="347"/>
    </row>
    <row r="10" spans="1:95" s="14" customFormat="1" ht="15" customHeight="1" x14ac:dyDescent="0.2">
      <c r="A10" s="62" t="s">
        <v>67</v>
      </c>
      <c r="B10" s="62"/>
      <c r="C10" s="62"/>
      <c r="D10" s="290" t="s">
        <v>70</v>
      </c>
      <c r="E10" s="291"/>
      <c r="F10" s="346" t="str">
        <f>IF(SUMMARY!$F7="","",SUMMARY!$F7)</f>
        <v>Outcomes for endocarditis surgery in North America: a simplified risk scoring system</v>
      </c>
      <c r="G10" s="347"/>
      <c r="H10" s="352"/>
      <c r="I10" s="346" t="str">
        <f>IF(SUMMARY!$F8="","",SUMMARY!$F8)</f>
        <v>The Need for a Specific Risk Prediction System in Native Valve Infective Endocarditis Surgery</v>
      </c>
      <c r="J10" s="347"/>
      <c r="K10" s="352"/>
      <c r="L10" s="346" t="str">
        <f>IF(SUMMARY!$F9="","",SUMMARY!$F9)</f>
        <v>Valve surgery in active infective endocarditis: A simple score to predict in-hospital prognosis</v>
      </c>
      <c r="M10" s="347"/>
      <c r="N10" s="352"/>
      <c r="O10" s="346" t="str">
        <f>IF(SUMMARY!$F10="","",SUMMARY!$F10)</f>
        <v>Assessment of perioperative mortality risk in patients with infective endocarditis undergoing cardiac surgery: performance of the EuroSCORE I and II logistic models</v>
      </c>
      <c r="P10" s="347"/>
      <c r="Q10" s="352"/>
      <c r="R10" s="346" t="str">
        <f>IF(SUMMARY!$F11="","",SUMMARY!$F11)</f>
        <v>Simple Scoring System to Predict In-Hospital Mortality After Surgery for Infective Endocarditis</v>
      </c>
      <c r="S10" s="347"/>
      <c r="T10" s="352"/>
      <c r="U10" s="346" t="str">
        <f>IF(SUMMARY!$F12="","",SUMMARY!$F12)</f>
        <v>Simple Scoring System to Predict In-Hospital Mortality After Surgery for Infective Endocarditis</v>
      </c>
      <c r="V10" s="347"/>
      <c r="W10" s="352"/>
      <c r="X10" s="346" t="str">
        <f>IF(SUMMARY!$F13="","",SUMMARY!$F13)</f>
        <v>A predictive model for early mortality after surgical treatment of heart valve or prosthesis infective endocarditis. The EndoSCORE</v>
      </c>
      <c r="Y10" s="347"/>
      <c r="Z10" s="352"/>
      <c r="AA10" s="346" t="str">
        <f>IF(SUMMARY!$F14="","",SUMMARY!$F14)</f>
        <v>A risk factor analysis for in‑hospital mortality after surgery for infective endocarditis and a proposal of a new predictive scoring system</v>
      </c>
      <c r="AB10" s="347"/>
      <c r="AC10" s="352"/>
      <c r="AD10" s="346" t="str">
        <f>IF(SUMMARY!$F15="","",SUMMARY!$F15)</f>
        <v>Risk score for cardiac surgery in active left-sided infective endocarditis</v>
      </c>
      <c r="AE10" s="347"/>
      <c r="AF10" s="352"/>
      <c r="AG10" s="346" t="str">
        <f>IF(SUMMARY!$F16="","",SUMMARY!$F16)</f>
        <v>A pragmatic approach for mortality prediction after surgery in infective endocarditis: optimizing and refining EuroSCORE</v>
      </c>
      <c r="AH10" s="347"/>
      <c r="AI10" s="352"/>
      <c r="AJ10" s="346" t="str">
        <f>IF(SUMMARY!$F17="","",SUMMARY!$F17)</f>
        <v>A pragmatic approach for mortality prediction after surgery in infective endocarditis: optimizing and refining EuroSCORE</v>
      </c>
      <c r="AK10" s="347"/>
      <c r="AL10" s="352"/>
      <c r="AM10" s="346" t="str">
        <f>IF(SUMMARY!$F18="","",SUMMARY!$F18)</f>
        <v/>
      </c>
      <c r="AN10" s="347"/>
      <c r="AO10" s="352"/>
      <c r="AP10" s="346" t="str">
        <f>IF(SUMMARY!$F19="","",SUMMARY!$F19)</f>
        <v/>
      </c>
      <c r="AQ10" s="347"/>
      <c r="AR10" s="352"/>
      <c r="AS10" s="346" t="str">
        <f>IF(SUMMARY!$F20="","",SUMMARY!$F20)</f>
        <v/>
      </c>
      <c r="AT10" s="347"/>
      <c r="AU10" s="352"/>
      <c r="AV10" s="346" t="str">
        <f>IF(SUMMARY!$F21="","",SUMMARY!$F21)</f>
        <v/>
      </c>
      <c r="AW10" s="347"/>
      <c r="AX10" s="352"/>
      <c r="AY10" s="346" t="str">
        <f>IF(SUMMARY!$F22="","",SUMMARY!$F22)</f>
        <v/>
      </c>
      <c r="AZ10" s="347"/>
      <c r="BA10" s="352"/>
      <c r="BB10" s="346" t="str">
        <f>IF(SUMMARY!$F23="","",SUMMARY!$F23)</f>
        <v/>
      </c>
      <c r="BC10" s="347"/>
      <c r="BD10" s="352"/>
      <c r="BE10" s="346" t="str">
        <f>IF(SUMMARY!$F24="","",SUMMARY!$F24)</f>
        <v/>
      </c>
      <c r="BF10" s="347"/>
      <c r="BG10" s="352"/>
      <c r="BH10" s="346" t="str">
        <f>IF(SUMMARY!$F25="","",SUMMARY!$F25)</f>
        <v/>
      </c>
      <c r="BI10" s="347"/>
      <c r="BJ10" s="352"/>
      <c r="BK10" s="346" t="str">
        <f>IF(SUMMARY!$F26="","",SUMMARY!$F26)</f>
        <v/>
      </c>
      <c r="BL10" s="347"/>
      <c r="BM10" s="352"/>
      <c r="BN10" s="346" t="str">
        <f>IF(SUMMARY!$F27="","",SUMMARY!$F27)</f>
        <v/>
      </c>
      <c r="BO10" s="347"/>
      <c r="BP10" s="352"/>
      <c r="BQ10" s="346" t="str">
        <f>IF(SUMMARY!$F28="","",SUMMARY!$F28)</f>
        <v/>
      </c>
      <c r="BR10" s="347"/>
      <c r="BS10" s="352"/>
      <c r="BT10" s="346" t="str">
        <f>IF(SUMMARY!$F29="","",SUMMARY!$F29)</f>
        <v/>
      </c>
      <c r="BU10" s="347"/>
      <c r="BV10" s="352"/>
      <c r="BW10" s="346" t="str">
        <f>IF(SUMMARY!$F30="","",SUMMARY!$F30)</f>
        <v/>
      </c>
      <c r="BX10" s="347"/>
      <c r="BY10" s="352"/>
      <c r="BZ10" s="346" t="str">
        <f>IF(SUMMARY!$F31="","",SUMMARY!$F31)</f>
        <v/>
      </c>
      <c r="CA10" s="347"/>
      <c r="CB10" s="352"/>
      <c r="CC10" s="346" t="str">
        <f>IF(SUMMARY!$F32="","",SUMMARY!$F32)</f>
        <v/>
      </c>
      <c r="CD10" s="347"/>
      <c r="CE10" s="352"/>
      <c r="CF10" s="346" t="str">
        <f>IF(SUMMARY!$F33="","",SUMMARY!$F33)</f>
        <v/>
      </c>
      <c r="CG10" s="347"/>
      <c r="CH10" s="352"/>
      <c r="CI10" s="346" t="str">
        <f>IF(SUMMARY!$F34="","",SUMMARY!$F34)</f>
        <v/>
      </c>
      <c r="CJ10" s="347"/>
      <c r="CK10" s="352"/>
      <c r="CL10" s="346" t="str">
        <f>IF(SUMMARY!$F35="","",SUMMARY!$F35)</f>
        <v/>
      </c>
      <c r="CM10" s="347"/>
      <c r="CN10" s="347"/>
      <c r="CO10" s="346" t="str">
        <f>IF(SUMMARY!$F36="","",SUMMARY!$F36)</f>
        <v/>
      </c>
      <c r="CP10" s="347"/>
      <c r="CQ10" s="347"/>
    </row>
    <row r="11" spans="1:95" s="14" customFormat="1" ht="15" customHeight="1" x14ac:dyDescent="0.2">
      <c r="A11" s="63" t="s">
        <v>67</v>
      </c>
      <c r="B11" s="63"/>
      <c r="C11" s="63"/>
      <c r="D11" s="290" t="s">
        <v>71</v>
      </c>
      <c r="E11" s="291"/>
      <c r="F11" s="346" t="str">
        <f>IF(SUMMARY!$G7="","",SUMMARY!$G7)</f>
        <v>J Thorac Cardiovasc Surg</v>
      </c>
      <c r="G11" s="347"/>
      <c r="H11" s="352"/>
      <c r="I11" s="346" t="str">
        <f>IF(SUMMARY!$G8="","",SUMMARY!$G8)</f>
        <v>The Scientific World Journal</v>
      </c>
      <c r="J11" s="347"/>
      <c r="K11" s="352"/>
      <c r="L11" s="346" t="str">
        <f>IF(SUMMARY!$G9="","",SUMMARY!$G9)</f>
        <v>International Journal of Cardiology</v>
      </c>
      <c r="M11" s="347"/>
      <c r="N11" s="352"/>
      <c r="O11" s="346" t="str">
        <f>IF(SUMMARY!$G10="","",SUMMARY!$G10)</f>
        <v>Interactive CardioVascular and Thoracic Surgery</v>
      </c>
      <c r="P11" s="347"/>
      <c r="Q11" s="352"/>
      <c r="R11" s="346" t="str">
        <f>IF(SUMMARY!$G11="","",SUMMARY!$G11)</f>
        <v>Journal of American Heart Association</v>
      </c>
      <c r="S11" s="347"/>
      <c r="T11" s="352"/>
      <c r="U11" s="346" t="str">
        <f>IF(SUMMARY!$G12="","",SUMMARY!$G12)</f>
        <v>Journal of American Heart Association</v>
      </c>
      <c r="V11" s="347"/>
      <c r="W11" s="352"/>
      <c r="X11" s="346" t="str">
        <f>IF(SUMMARY!$G13="","",SUMMARY!$G13)</f>
        <v>Int J Cardiol</v>
      </c>
      <c r="Y11" s="347"/>
      <c r="Z11" s="352"/>
      <c r="AA11" s="346" t="str">
        <f>IF(SUMMARY!$G14="","",SUMMARY!$G14)</f>
        <v>Infection</v>
      </c>
      <c r="AB11" s="347"/>
      <c r="AC11" s="352"/>
      <c r="AD11" s="346" t="str">
        <f>IF(SUMMARY!$G15="","",SUMMARY!$G15)</f>
        <v>Heart</v>
      </c>
      <c r="AE11" s="347"/>
      <c r="AF11" s="352"/>
      <c r="AG11" s="346" t="str">
        <f>IF(SUMMARY!$G16="","",SUMMARY!$G16)</f>
        <v>Clinical Microbiology and Infection</v>
      </c>
      <c r="AH11" s="347"/>
      <c r="AI11" s="352"/>
      <c r="AJ11" s="346" t="str">
        <f>IF(SUMMARY!$G17="","",SUMMARY!$G17)</f>
        <v>Clinical Microbiology and Infection</v>
      </c>
      <c r="AK11" s="347"/>
      <c r="AL11" s="352"/>
      <c r="AM11" s="346" t="str">
        <f>IF(SUMMARY!$G18="","",SUMMARY!$G18)</f>
        <v/>
      </c>
      <c r="AN11" s="347"/>
      <c r="AO11" s="352"/>
      <c r="AP11" s="346" t="str">
        <f>IF(SUMMARY!$G19="","",SUMMARY!$G19)</f>
        <v/>
      </c>
      <c r="AQ11" s="347"/>
      <c r="AR11" s="352"/>
      <c r="AS11" s="346" t="str">
        <f>IF(SUMMARY!$G20="","",SUMMARY!$G20)</f>
        <v/>
      </c>
      <c r="AT11" s="347"/>
      <c r="AU11" s="352"/>
      <c r="AV11" s="346" t="str">
        <f>IF(SUMMARY!$G21="","",SUMMARY!$G21)</f>
        <v/>
      </c>
      <c r="AW11" s="347"/>
      <c r="AX11" s="352"/>
      <c r="AY11" s="346" t="str">
        <f>IF(SUMMARY!$G22="","",SUMMARY!$G22)</f>
        <v/>
      </c>
      <c r="AZ11" s="347"/>
      <c r="BA11" s="352"/>
      <c r="BB11" s="346" t="str">
        <f>IF(SUMMARY!$G23="","",SUMMARY!$G23)</f>
        <v/>
      </c>
      <c r="BC11" s="347"/>
      <c r="BD11" s="352"/>
      <c r="BE11" s="346" t="str">
        <f>IF(SUMMARY!$G24="","",SUMMARY!$G24)</f>
        <v/>
      </c>
      <c r="BF11" s="347"/>
      <c r="BG11" s="352"/>
      <c r="BH11" s="346" t="str">
        <f>IF(SUMMARY!$G25="","",SUMMARY!$G25)</f>
        <v/>
      </c>
      <c r="BI11" s="347"/>
      <c r="BJ11" s="352"/>
      <c r="BK11" s="346" t="str">
        <f>IF(SUMMARY!$G26="","",SUMMARY!$G26)</f>
        <v/>
      </c>
      <c r="BL11" s="347"/>
      <c r="BM11" s="352"/>
      <c r="BN11" s="346" t="str">
        <f>IF(SUMMARY!$G27="","",SUMMARY!$G27)</f>
        <v/>
      </c>
      <c r="BO11" s="347"/>
      <c r="BP11" s="352"/>
      <c r="BQ11" s="346" t="str">
        <f>IF(SUMMARY!$G28="","",SUMMARY!$G28)</f>
        <v/>
      </c>
      <c r="BR11" s="347"/>
      <c r="BS11" s="352"/>
      <c r="BT11" s="346" t="str">
        <f>IF(SUMMARY!$G29="","",SUMMARY!$G29)</f>
        <v/>
      </c>
      <c r="BU11" s="347"/>
      <c r="BV11" s="352"/>
      <c r="BW11" s="346" t="str">
        <f>IF(SUMMARY!$G30="","",SUMMARY!$G30)</f>
        <v/>
      </c>
      <c r="BX11" s="347"/>
      <c r="BY11" s="352"/>
      <c r="BZ11" s="346" t="str">
        <f>IF(SUMMARY!$G31="","",SUMMARY!$G31)</f>
        <v/>
      </c>
      <c r="CA11" s="347"/>
      <c r="CB11" s="352"/>
      <c r="CC11" s="346" t="str">
        <f>IF(SUMMARY!$G32="","",SUMMARY!$G32)</f>
        <v/>
      </c>
      <c r="CD11" s="347"/>
      <c r="CE11" s="352"/>
      <c r="CF11" s="346" t="str">
        <f>IF(SUMMARY!$G33="","",SUMMARY!$G33)</f>
        <v/>
      </c>
      <c r="CG11" s="347"/>
      <c r="CH11" s="352"/>
      <c r="CI11" s="346" t="str">
        <f>IF(SUMMARY!$G34="","",SUMMARY!$G34)</f>
        <v/>
      </c>
      <c r="CJ11" s="347"/>
      <c r="CK11" s="352"/>
      <c r="CL11" s="346" t="str">
        <f>IF(SUMMARY!$G35="","",SUMMARY!$G35)</f>
        <v/>
      </c>
      <c r="CM11" s="347"/>
      <c r="CN11" s="347"/>
      <c r="CO11" s="346" t="str">
        <f>IF(SUMMARY!$G36="","",SUMMARY!$G36)</f>
        <v/>
      </c>
      <c r="CP11" s="347"/>
      <c r="CQ11" s="347"/>
    </row>
    <row r="12" spans="1:95" s="14" customFormat="1" ht="15" customHeight="1" x14ac:dyDescent="0.2">
      <c r="A12" s="63" t="s">
        <v>67</v>
      </c>
      <c r="B12" s="63"/>
      <c r="C12" s="63"/>
      <c r="D12" s="288" t="s">
        <v>72</v>
      </c>
      <c r="E12" s="289"/>
      <c r="F12" s="348" t="str">
        <f>IF(SUMMARY!$H7="","",SUMMARY!$H7)</f>
        <v>STSS score</v>
      </c>
      <c r="G12" s="349"/>
      <c r="H12" s="353"/>
      <c r="I12" s="348" t="str">
        <f>IF(SUMMARY!$H8="","",SUMMARY!$H8)</f>
        <v>De Feo score</v>
      </c>
      <c r="J12" s="349"/>
      <c r="K12" s="353"/>
      <c r="L12" s="348" t="str">
        <f>IF(SUMMARY!$H9="","",SUMMARY!$H9)</f>
        <v>PALSUSE</v>
      </c>
      <c r="M12" s="349"/>
      <c r="N12" s="353"/>
      <c r="O12" s="348" t="str">
        <f>IF(SUMMARY!$H10="","",SUMMARY!$H10)</f>
        <v>modified EuroSCORE-II</v>
      </c>
      <c r="P12" s="349"/>
      <c r="Q12" s="353"/>
      <c r="R12" s="348" t="str">
        <f>IF(SUMMARY!$H11="","",SUMMARY!$H11)</f>
        <v>AEPEI score</v>
      </c>
      <c r="S12" s="349"/>
      <c r="T12" s="353"/>
      <c r="U12" s="348" t="str">
        <f>IF(SUMMARY!$H12="","",SUMMARY!$H12)</f>
        <v>Alternate AEPEI score</v>
      </c>
      <c r="V12" s="349"/>
      <c r="W12" s="353"/>
      <c r="X12" s="348" t="str">
        <f>IF(SUMMARY!$H13="","",SUMMARY!$H13)</f>
        <v>EndoSCORE</v>
      </c>
      <c r="Y12" s="349"/>
      <c r="Z12" s="353"/>
      <c r="AA12" s="348" t="str">
        <f>IF(SUMMARY!$H14="","",SUMMARY!$H14)</f>
        <v>ANCLA score</v>
      </c>
      <c r="AB12" s="349"/>
      <c r="AC12" s="353"/>
      <c r="AD12" s="348" t="str">
        <f>IF(SUMMARY!$H15="","",SUMMARY!$H15)</f>
        <v>RISK-E score</v>
      </c>
      <c r="AE12" s="349"/>
      <c r="AF12" s="353"/>
      <c r="AG12" s="348" t="str">
        <f>IF(SUMMARY!$H16="","",SUMMARY!$H16)</f>
        <v>Specific EuroSCORE-I</v>
      </c>
      <c r="AH12" s="349"/>
      <c r="AI12" s="353"/>
      <c r="AJ12" s="348" t="str">
        <f>IF(SUMMARY!$H17="","",SUMMARY!$H17)</f>
        <v>Specific EuroSCORE-II</v>
      </c>
      <c r="AK12" s="349"/>
      <c r="AL12" s="353"/>
      <c r="AM12" s="348" t="str">
        <f>IF(SUMMARY!$H18="","",SUMMARY!$H18)</f>
        <v/>
      </c>
      <c r="AN12" s="349"/>
      <c r="AO12" s="353"/>
      <c r="AP12" s="348" t="str">
        <f>IF(SUMMARY!$H19="","",SUMMARY!$H19)</f>
        <v/>
      </c>
      <c r="AQ12" s="349"/>
      <c r="AR12" s="353"/>
      <c r="AS12" s="348" t="str">
        <f>IF(SUMMARY!$H20="","",SUMMARY!$H20)</f>
        <v/>
      </c>
      <c r="AT12" s="349"/>
      <c r="AU12" s="353"/>
      <c r="AV12" s="348" t="str">
        <f>IF(SUMMARY!$H21="","",SUMMARY!$H21)</f>
        <v/>
      </c>
      <c r="AW12" s="349"/>
      <c r="AX12" s="353"/>
      <c r="AY12" s="348" t="str">
        <f>IF(SUMMARY!$H22="","",SUMMARY!$H22)</f>
        <v/>
      </c>
      <c r="AZ12" s="349"/>
      <c r="BA12" s="353"/>
      <c r="BB12" s="348" t="str">
        <f>IF(SUMMARY!$H23="","",SUMMARY!$H23)</f>
        <v/>
      </c>
      <c r="BC12" s="349"/>
      <c r="BD12" s="353"/>
      <c r="BE12" s="348" t="str">
        <f>IF(SUMMARY!$H24="","",SUMMARY!$H24)</f>
        <v/>
      </c>
      <c r="BF12" s="349"/>
      <c r="BG12" s="353"/>
      <c r="BH12" s="348" t="str">
        <f>IF(SUMMARY!$H25="","",SUMMARY!$H25)</f>
        <v/>
      </c>
      <c r="BI12" s="349"/>
      <c r="BJ12" s="353"/>
      <c r="BK12" s="348" t="str">
        <f>IF(SUMMARY!$H26="","",SUMMARY!$H26)</f>
        <v/>
      </c>
      <c r="BL12" s="349"/>
      <c r="BM12" s="353"/>
      <c r="BN12" s="348" t="str">
        <f>IF(SUMMARY!$H27="","",SUMMARY!$H27)</f>
        <v/>
      </c>
      <c r="BO12" s="349"/>
      <c r="BP12" s="353"/>
      <c r="BQ12" s="348" t="str">
        <f>IF(SUMMARY!$H28="","",SUMMARY!$H28)</f>
        <v/>
      </c>
      <c r="BR12" s="349"/>
      <c r="BS12" s="353"/>
      <c r="BT12" s="348" t="str">
        <f>IF(SUMMARY!$H29="","",SUMMARY!$H29)</f>
        <v/>
      </c>
      <c r="BU12" s="349"/>
      <c r="BV12" s="353"/>
      <c r="BW12" s="348" t="str">
        <f>IF(SUMMARY!$H30="","",SUMMARY!$H30)</f>
        <v/>
      </c>
      <c r="BX12" s="349"/>
      <c r="BY12" s="353"/>
      <c r="BZ12" s="348" t="str">
        <f>IF(SUMMARY!$H31="","",SUMMARY!$H31)</f>
        <v/>
      </c>
      <c r="CA12" s="349"/>
      <c r="CB12" s="353"/>
      <c r="CC12" s="348" t="str">
        <f>IF(SUMMARY!$H32="","",SUMMARY!$H32)</f>
        <v/>
      </c>
      <c r="CD12" s="349"/>
      <c r="CE12" s="353"/>
      <c r="CF12" s="348" t="str">
        <f>IF(SUMMARY!$H33="","",SUMMARY!$H33)</f>
        <v/>
      </c>
      <c r="CG12" s="349"/>
      <c r="CH12" s="353"/>
      <c r="CI12" s="348" t="str">
        <f>IF(SUMMARY!$H34="","",SUMMARY!$H34)</f>
        <v/>
      </c>
      <c r="CJ12" s="349"/>
      <c r="CK12" s="353"/>
      <c r="CL12" s="348" t="str">
        <f>IF(SUMMARY!$H35="","",SUMMARY!$H35)</f>
        <v/>
      </c>
      <c r="CM12" s="349"/>
      <c r="CN12" s="349"/>
      <c r="CO12" s="348" t="str">
        <f>IF(SUMMARY!$H36="","",SUMMARY!$H36)</f>
        <v/>
      </c>
      <c r="CP12" s="349"/>
      <c r="CQ12" s="349"/>
    </row>
    <row r="13" spans="1:95" s="1" customFormat="1" ht="18.75" customHeight="1" x14ac:dyDescent="0.25">
      <c r="A13" s="287" t="s">
        <v>73</v>
      </c>
      <c r="B13" s="287"/>
      <c r="C13" s="287"/>
      <c r="D13" s="287"/>
      <c r="E13" s="287"/>
      <c r="F13" s="48">
        <f>IF(SUMMARY!$B$7=TRUE,IF(F14="",0,1),"")</f>
        <v>1</v>
      </c>
      <c r="G13" s="50"/>
      <c r="H13" s="50"/>
      <c r="I13" s="50">
        <f>IF(SUMMARY!$B$8=TRUE,IF(I14="",0,1),"")</f>
        <v>1</v>
      </c>
      <c r="J13" s="50"/>
      <c r="K13" s="50"/>
      <c r="L13" s="50">
        <f>IF(SUMMARY!$B$9=TRUE,IF(L14="",0,1),"")</f>
        <v>1</v>
      </c>
      <c r="M13" s="50"/>
      <c r="N13" s="50"/>
      <c r="O13" s="50">
        <f>IF(SUMMARY!$B$10=TRUE,IF(O14="",0,1),"")</f>
        <v>1</v>
      </c>
      <c r="P13" s="50"/>
      <c r="Q13" s="50"/>
      <c r="R13" s="50">
        <f>IF(SUMMARY!$B$11=TRUE,IF(R14="",0,1),"")</f>
        <v>1</v>
      </c>
      <c r="S13" s="50"/>
      <c r="T13" s="50"/>
      <c r="U13" s="50">
        <f>IF(SUMMARY!$B$12=TRUE,IF(U14="",0,1),"")</f>
        <v>1</v>
      </c>
      <c r="V13" s="50"/>
      <c r="W13" s="50"/>
      <c r="X13" s="50">
        <f>IF(SUMMARY!$B$13=TRUE,IF(X14="",0,1),"")</f>
        <v>1</v>
      </c>
      <c r="Y13" s="50"/>
      <c r="Z13" s="50"/>
      <c r="AA13" s="50">
        <f>IF(SUMMARY!$B$14=TRUE,IF(AA14="",0,1),"")</f>
        <v>1</v>
      </c>
      <c r="AB13" s="50"/>
      <c r="AC13" s="50"/>
      <c r="AD13" s="50">
        <f>IF(SUMMARY!$B$15=TRUE,IF(AD14="",0,1),"")</f>
        <v>1</v>
      </c>
      <c r="AE13" s="50"/>
      <c r="AF13" s="50"/>
      <c r="AG13" s="50">
        <f>IF(SUMMARY!$B$16=TRUE,IF(AG14="",0,1),"")</f>
        <v>1</v>
      </c>
      <c r="AH13" s="50"/>
      <c r="AI13" s="50"/>
      <c r="AJ13" s="50">
        <f>IF(SUMMARY!$B$17=TRUE,IF(AJ14="",0,1),"")</f>
        <v>1</v>
      </c>
      <c r="AK13" s="50"/>
      <c r="AL13" s="50"/>
      <c r="AM13" s="50" t="str">
        <f>IF(SUMMARY!$B$18=TRUE,IF(AM14="",0,1),"")</f>
        <v/>
      </c>
      <c r="AN13" s="50"/>
      <c r="AO13" s="50"/>
      <c r="AP13" s="50" t="str">
        <f>IF(SUMMARY!$B$19=TRUE,IF(AP14="",0,1),"")</f>
        <v/>
      </c>
      <c r="AQ13" s="50"/>
      <c r="AR13" s="50"/>
      <c r="AS13" s="50" t="str">
        <f>IF(SUMMARY!$B$20=TRUE,IF(AS14="",0,1),"")</f>
        <v/>
      </c>
      <c r="AT13" s="50"/>
      <c r="AU13" s="50"/>
      <c r="AV13" s="50" t="str">
        <f>IF(SUMMARY!$B$21=TRUE,IF(AV14="",0,1),"")</f>
        <v/>
      </c>
      <c r="AW13" s="50"/>
      <c r="AX13" s="50"/>
      <c r="AY13" s="50" t="str">
        <f>IF(SUMMARY!$B$22=TRUE,IF(AY14="",0,1),"")</f>
        <v/>
      </c>
      <c r="AZ13" s="50"/>
      <c r="BA13" s="50"/>
      <c r="BB13" s="50" t="str">
        <f>IF(SUMMARY!$B$23=TRUE,IF(BB14="",0,1),"")</f>
        <v/>
      </c>
      <c r="BC13" s="50"/>
      <c r="BD13" s="50"/>
      <c r="BE13" s="50" t="str">
        <f>IF(SUMMARY!$B$24=TRUE,IF(BE14="",0,1),"")</f>
        <v/>
      </c>
      <c r="BF13" s="50"/>
      <c r="BG13" s="50"/>
      <c r="BH13" s="50" t="str">
        <f>IF(SUMMARY!$B$25=TRUE,IF(BH14="",0,1),"")</f>
        <v/>
      </c>
      <c r="BI13" s="50"/>
      <c r="BJ13" s="50"/>
      <c r="BK13" s="50" t="str">
        <f>IF(SUMMARY!$B$26=TRUE,IF(BK14="",0,1),"")</f>
        <v/>
      </c>
      <c r="BL13" s="50"/>
      <c r="BM13" s="50"/>
      <c r="BN13" s="50" t="str">
        <f>IF(SUMMARY!$B$27=TRUE,IF(BN14="",0,1),"")</f>
        <v/>
      </c>
      <c r="BO13" s="50"/>
      <c r="BP13" s="50"/>
      <c r="BQ13" s="50" t="str">
        <f>IF(SUMMARY!$B$28=TRUE,IF(BQ14="",0,1),"")</f>
        <v/>
      </c>
      <c r="BR13" s="50"/>
      <c r="BS13" s="50"/>
      <c r="BT13" s="50" t="str">
        <f>IF(SUMMARY!$B$29=TRUE,IF(BT14="",0,1),"")</f>
        <v/>
      </c>
      <c r="BU13" s="50"/>
      <c r="BV13" s="50"/>
      <c r="BW13" s="50" t="str">
        <f>IF(SUMMARY!$B$30=TRUE,IF(BW14="",0,1),"")</f>
        <v/>
      </c>
      <c r="BX13" s="50"/>
      <c r="BY13" s="50"/>
      <c r="BZ13" s="50" t="str">
        <f>IF(SUMMARY!$B$31=TRUE,IF(BZ14="",0,1),"")</f>
        <v/>
      </c>
      <c r="CA13" s="50"/>
      <c r="CB13" s="50"/>
      <c r="CC13" s="50" t="str">
        <f>IF(SUMMARY!$B$32=TRUE,IF(CC14="",0,1),"")</f>
        <v/>
      </c>
      <c r="CD13" s="50"/>
      <c r="CE13" s="50"/>
      <c r="CF13" s="50" t="str">
        <f>IF(SUMMARY!$B$33=TRUE,IF(CF14="",0,1),"")</f>
        <v/>
      </c>
      <c r="CG13" s="50"/>
      <c r="CH13" s="50"/>
      <c r="CI13" s="50" t="str">
        <f>IF(SUMMARY!$B$34=TRUE,IF(CI14="",0,1),"")</f>
        <v/>
      </c>
      <c r="CJ13" s="50"/>
      <c r="CK13" s="50"/>
      <c r="CL13" s="50" t="str">
        <f>IF(SUMMARY!$B$35=TRUE,IF(CL14="",0,1),"")</f>
        <v/>
      </c>
      <c r="CM13" s="50"/>
      <c r="CN13" s="50"/>
      <c r="CO13" s="51" t="str">
        <f>IF(SUMMARY!$B$36=TRUE,IF(CO14="",0,1),"")</f>
        <v/>
      </c>
      <c r="CP13" s="50"/>
      <c r="CQ13" s="50"/>
    </row>
    <row r="14" spans="1:95" s="13" customFormat="1" ht="15" customHeight="1" x14ac:dyDescent="0.25">
      <c r="A14" s="206"/>
      <c r="B14" s="64" t="s">
        <v>67</v>
      </c>
      <c r="C14" s="64" t="s">
        <v>67</v>
      </c>
      <c r="D14" s="308" t="s">
        <v>74</v>
      </c>
      <c r="E14" s="309"/>
      <c r="F14" s="326" t="s">
        <v>75</v>
      </c>
      <c r="G14" s="327"/>
      <c r="H14" s="327"/>
      <c r="I14" s="326" t="s">
        <v>76</v>
      </c>
      <c r="J14" s="327"/>
      <c r="K14" s="327"/>
      <c r="L14" s="326" t="s">
        <v>75</v>
      </c>
      <c r="M14" s="327"/>
      <c r="N14" s="327"/>
      <c r="O14" s="326" t="s">
        <v>76</v>
      </c>
      <c r="P14" s="327"/>
      <c r="Q14" s="327"/>
      <c r="R14" s="326" t="s">
        <v>77</v>
      </c>
      <c r="S14" s="327"/>
      <c r="T14" s="327"/>
      <c r="U14" s="326" t="s">
        <v>77</v>
      </c>
      <c r="V14" s="327"/>
      <c r="W14" s="327"/>
      <c r="X14" s="326" t="s">
        <v>76</v>
      </c>
      <c r="Y14" s="327"/>
      <c r="Z14" s="327"/>
      <c r="AA14" s="326" t="s">
        <v>76</v>
      </c>
      <c r="AB14" s="327"/>
      <c r="AC14" s="327"/>
      <c r="AD14" s="326" t="s">
        <v>76</v>
      </c>
      <c r="AE14" s="327"/>
      <c r="AF14" s="327"/>
      <c r="AG14" s="326" t="s">
        <v>76</v>
      </c>
      <c r="AH14" s="327"/>
      <c r="AI14" s="327"/>
      <c r="AJ14" s="326" t="s">
        <v>76</v>
      </c>
      <c r="AK14" s="327"/>
      <c r="AL14" s="327"/>
      <c r="AM14" s="326"/>
      <c r="AN14" s="327"/>
      <c r="AO14" s="327"/>
      <c r="AP14" s="326"/>
      <c r="AQ14" s="327"/>
      <c r="AR14" s="327"/>
      <c r="AS14" s="326"/>
      <c r="AT14" s="327"/>
      <c r="AU14" s="327"/>
      <c r="AV14" s="326"/>
      <c r="AW14" s="327"/>
      <c r="AX14" s="327"/>
      <c r="AY14" s="326"/>
      <c r="AZ14" s="327"/>
      <c r="BA14" s="327"/>
      <c r="BB14" s="326"/>
      <c r="BC14" s="327"/>
      <c r="BD14" s="327"/>
      <c r="BE14" s="326"/>
      <c r="BF14" s="327"/>
      <c r="BG14" s="327"/>
      <c r="BH14" s="326"/>
      <c r="BI14" s="327"/>
      <c r="BJ14" s="327"/>
      <c r="BK14" s="326"/>
      <c r="BL14" s="327"/>
      <c r="BM14" s="327"/>
      <c r="BN14" s="326"/>
      <c r="BO14" s="327"/>
      <c r="BP14" s="327"/>
      <c r="BQ14" s="326"/>
      <c r="BR14" s="327"/>
      <c r="BS14" s="327"/>
      <c r="BT14" s="326"/>
      <c r="BU14" s="327"/>
      <c r="BV14" s="327"/>
      <c r="BW14" s="326"/>
      <c r="BX14" s="327"/>
      <c r="BY14" s="327"/>
      <c r="BZ14" s="326"/>
      <c r="CA14" s="327"/>
      <c r="CB14" s="327"/>
      <c r="CC14" s="326"/>
      <c r="CD14" s="327"/>
      <c r="CE14" s="327"/>
      <c r="CF14" s="326"/>
      <c r="CG14" s="327"/>
      <c r="CH14" s="327"/>
      <c r="CI14" s="326"/>
      <c r="CJ14" s="327"/>
      <c r="CK14" s="327"/>
      <c r="CL14" s="326"/>
      <c r="CM14" s="327"/>
      <c r="CN14" s="327"/>
      <c r="CO14" s="326"/>
      <c r="CP14" s="327"/>
      <c r="CQ14" s="327"/>
    </row>
    <row r="15" spans="1:95" s="1" customFormat="1" ht="18.75" customHeight="1" x14ac:dyDescent="0.25">
      <c r="A15" s="287" t="s">
        <v>78</v>
      </c>
      <c r="B15" s="287"/>
      <c r="C15" s="287"/>
      <c r="D15" s="287"/>
      <c r="E15" s="287"/>
      <c r="F15" s="48">
        <f>IF(SUMMARY!$B$7=TRUE,IF(AND(COUNTBLANK(F16:F22)=0,COUNTBLANK(F24:F28)&lt;5),1,0),"")</f>
        <v>1</v>
      </c>
      <c r="G15" s="49"/>
      <c r="H15" s="49"/>
      <c r="I15" s="50">
        <f>IF(SUMMARY!$B$8=TRUE,IF(AND(COUNTBLANK(I16:I22)=0,COUNTBLANK(I24:I28)&lt;5),1,0),"")</f>
        <v>1</v>
      </c>
      <c r="J15" s="49"/>
      <c r="K15" s="49"/>
      <c r="L15" s="50">
        <f>IF(SUMMARY!$B$9=TRUE,IF(AND(COUNTBLANK(L16:L22)=0,COUNTBLANK(L24:L28)&lt;5),1,0),"")</f>
        <v>1</v>
      </c>
      <c r="M15" s="49"/>
      <c r="N15" s="49"/>
      <c r="O15" s="50">
        <f>IF(SUMMARY!$B$10=TRUE,IF(AND(COUNTBLANK(O16:O22)=0,COUNTBLANK(O24:O28)&lt;5),1,0),"")</f>
        <v>1</v>
      </c>
      <c r="P15" s="49"/>
      <c r="Q15" s="49"/>
      <c r="R15" s="50">
        <f>IF(SUMMARY!$B$11=TRUE,IF(AND(COUNTBLANK(R16:R22)=0,COUNTBLANK(R24:R28)&lt;5),1,0),"")</f>
        <v>1</v>
      </c>
      <c r="S15" s="49"/>
      <c r="T15" s="49"/>
      <c r="U15" s="50">
        <f>IF(SUMMARY!$B$12=TRUE,IF(AND(COUNTBLANK(U16:U22)=0,COUNTBLANK(U24:U28)&lt;5),1,0),"")</f>
        <v>1</v>
      </c>
      <c r="V15" s="49"/>
      <c r="W15" s="49"/>
      <c r="X15" s="50">
        <f>IF(SUMMARY!$B$13=TRUE,IF(AND(COUNTBLANK(X16:X22)=0,COUNTBLANK(X24:X28)&lt;5),1,0),"")</f>
        <v>1</v>
      </c>
      <c r="Y15" s="49"/>
      <c r="Z15" s="49"/>
      <c r="AA15" s="50">
        <f>IF(SUMMARY!$B$14=TRUE,IF(AND(COUNTBLANK(AA16:AA22)=0,COUNTBLANK(AA24:AA28)&lt;5),1,0),"")</f>
        <v>1</v>
      </c>
      <c r="AB15" s="49"/>
      <c r="AC15" s="49"/>
      <c r="AD15" s="50">
        <f>IF(SUMMARY!$B$15=TRUE,IF(AND(COUNTBLANK(AD16:AD22)=0,COUNTBLANK(AD24:AD28)&lt;5),1,0),"")</f>
        <v>1</v>
      </c>
      <c r="AE15" s="49"/>
      <c r="AF15" s="49"/>
      <c r="AG15" s="50">
        <f>IF(SUMMARY!$B$16=TRUE,IF(AND(COUNTBLANK(AG16:AG22)=0,COUNTBLANK(AG24:AG28)&lt;5),1,0),"")</f>
        <v>1</v>
      </c>
      <c r="AH15" s="49"/>
      <c r="AI15" s="49"/>
      <c r="AJ15" s="50">
        <f>IF(SUMMARY!$B$17=TRUE,IF(AND(COUNTBLANK(AJ16:AJ22)=0,COUNTBLANK(AJ24:AJ28)&lt;5),1,0),"")</f>
        <v>1</v>
      </c>
      <c r="AK15" s="49"/>
      <c r="AL15" s="49"/>
      <c r="AM15" s="50" t="str">
        <f>IF(SUMMARY!$B$18=TRUE,IF(AND(COUNTBLANK(AM16:AM22)=0,COUNTBLANK(AM24:AM28)&lt;5),1,0),"")</f>
        <v/>
      </c>
      <c r="AN15" s="49"/>
      <c r="AO15" s="49"/>
      <c r="AP15" s="50" t="str">
        <f>IF(SUMMARY!$B$19=TRUE,IF(AND(COUNTBLANK(AP16:AP22)=0,COUNTBLANK(AP24:AP28)&lt;5),1,0),"")</f>
        <v/>
      </c>
      <c r="AQ15" s="49"/>
      <c r="AR15" s="49"/>
      <c r="AS15" s="50" t="str">
        <f>IF(SUMMARY!$B$20=TRUE,IF(AND(COUNTBLANK(AS16:AS22)=0,COUNTBLANK(AS24:AS28)&lt;5),1,0),"")</f>
        <v/>
      </c>
      <c r="AT15" s="49"/>
      <c r="AU15" s="49"/>
      <c r="AV15" s="50" t="str">
        <f>IF(SUMMARY!$B$21=TRUE,IF(AND(COUNTBLANK(AV16:AV22)=0,COUNTBLANK(AV24:AV28)&lt;5),1,0),"")</f>
        <v/>
      </c>
      <c r="AW15" s="49"/>
      <c r="AX15" s="49"/>
      <c r="AY15" s="50" t="str">
        <f>IF(SUMMARY!$B$22=TRUE,IF(AND(COUNTBLANK(AY16:AY22)=0,COUNTBLANK(AY24:AY28)&lt;5),1,0),"")</f>
        <v/>
      </c>
      <c r="AZ15" s="49"/>
      <c r="BA15" s="49"/>
      <c r="BB15" s="50" t="str">
        <f>IF(SUMMARY!$B$23=TRUE,IF(AND(COUNTBLANK(BB16:BB22)=0,COUNTBLANK(BB24:BB28)&lt;5),1,0),"")</f>
        <v/>
      </c>
      <c r="BC15" s="49"/>
      <c r="BD15" s="49"/>
      <c r="BE15" s="50" t="str">
        <f>IF(SUMMARY!$B$24=TRUE,IF(AND(COUNTBLANK(BE16:BE22)=0,COUNTBLANK(BE24:BE28)&lt;5),1,0),"")</f>
        <v/>
      </c>
      <c r="BF15" s="49"/>
      <c r="BG15" s="49"/>
      <c r="BH15" s="50" t="str">
        <f>IF(SUMMARY!$B$25=TRUE,IF(AND(COUNTBLANK(BH16:BH22)=0,COUNTBLANK(BH24:BH28)&lt;5),1,0),"")</f>
        <v/>
      </c>
      <c r="BI15" s="49"/>
      <c r="BJ15" s="49"/>
      <c r="BK15" s="50" t="str">
        <f>IF(SUMMARY!$B$26=TRUE,IF(AND(COUNTBLANK(BK16:BK22)=0,COUNTBLANK(BK24:BK28)&lt;5),1,0),"")</f>
        <v/>
      </c>
      <c r="BL15" s="49"/>
      <c r="BM15" s="49"/>
      <c r="BN15" s="50" t="str">
        <f>IF(SUMMARY!$B$27=TRUE,IF(AND(COUNTBLANK(BN16:BN22)=0,COUNTBLANK(BN24:BN28)&lt;5),1,0),"")</f>
        <v/>
      </c>
      <c r="BO15" s="49"/>
      <c r="BP15" s="49"/>
      <c r="BQ15" s="50" t="str">
        <f>IF(SUMMARY!$B$28=TRUE,IF(AND(COUNTBLANK(BQ16:BQ22)=0,COUNTBLANK(BQ24:BQ28)&lt;5),1,0),"")</f>
        <v/>
      </c>
      <c r="BR15" s="49"/>
      <c r="BS15" s="49"/>
      <c r="BT15" s="50" t="str">
        <f>IF(SUMMARY!$B$29=TRUE,IF(AND(COUNTBLANK(BT16:BT22)=0,COUNTBLANK(BT24:BT28)&lt;5),1,0),"")</f>
        <v/>
      </c>
      <c r="BU15" s="49"/>
      <c r="BV15" s="49"/>
      <c r="BW15" s="50" t="str">
        <f>IF(SUMMARY!$B$30=TRUE,IF(AND(COUNTBLANK(BW16:BW22)=0,COUNTBLANK(BW24:BW28)&lt;5),1,0),"")</f>
        <v/>
      </c>
      <c r="BX15" s="49"/>
      <c r="BY15" s="49"/>
      <c r="BZ15" s="50" t="str">
        <f>IF(SUMMARY!$B$31=TRUE,IF(AND(COUNTBLANK(BZ16:BZ22)=0,COUNTBLANK(BZ24:BZ28)&lt;5),1,0),"")</f>
        <v/>
      </c>
      <c r="CA15" s="49"/>
      <c r="CB15" s="49"/>
      <c r="CC15" s="50" t="str">
        <f>IF(SUMMARY!$B$32=TRUE,IF(AND(COUNTBLANK(CC16:CC22)=0,COUNTBLANK(CC24:CC28)&lt;5),1,0),"")</f>
        <v/>
      </c>
      <c r="CD15" s="49"/>
      <c r="CE15" s="49"/>
      <c r="CF15" s="50" t="str">
        <f>IF(SUMMARY!$B$33=TRUE,IF(AND(COUNTBLANK(CF16:CF22)=0,COUNTBLANK(CF24:CF28)&lt;5),1,0),"")</f>
        <v/>
      </c>
      <c r="CG15" s="49"/>
      <c r="CH15" s="49"/>
      <c r="CI15" s="50" t="str">
        <f>IF(SUMMARY!$B$34=TRUE,IF(AND(COUNTBLANK(CI16:CI22)=0,COUNTBLANK(CI24:CI28)&lt;5),1,0),"")</f>
        <v/>
      </c>
      <c r="CJ15" s="49"/>
      <c r="CK15" s="49"/>
      <c r="CL15" s="50" t="str">
        <f>IF(SUMMARY!$B$35=TRUE,IF(AND(COUNTBLANK(CL16:CL22)=0,COUNTBLANK(CL24:CL28)&lt;5),1,0),"")</f>
        <v/>
      </c>
      <c r="CM15" s="49"/>
      <c r="CN15" s="49"/>
      <c r="CO15" s="51" t="str">
        <f>IF(SUMMARY!$B$36=TRUE,IF(AND(COUNTBLANK(CO16:CO22)=0,COUNTBLANK(CO24:CO28)&lt;5),1,0),"")</f>
        <v/>
      </c>
      <c r="CP15" s="49"/>
      <c r="CQ15" s="49"/>
    </row>
    <row r="16" spans="1:95" s="13" customFormat="1" ht="15" customHeight="1" x14ac:dyDescent="0.25">
      <c r="A16" s="61" t="s">
        <v>79</v>
      </c>
      <c r="B16" s="61" t="s">
        <v>67</v>
      </c>
      <c r="C16" s="61"/>
      <c r="D16" s="292" t="s">
        <v>80</v>
      </c>
      <c r="E16" s="293"/>
      <c r="F16" s="328" t="s">
        <v>81</v>
      </c>
      <c r="G16" s="329"/>
      <c r="H16" s="329"/>
      <c r="I16" s="328" t="s">
        <v>82</v>
      </c>
      <c r="J16" s="329"/>
      <c r="K16" s="329"/>
      <c r="L16" s="328" t="s">
        <v>83</v>
      </c>
      <c r="M16" s="329"/>
      <c r="N16" s="329"/>
      <c r="O16" s="328" t="s">
        <v>84</v>
      </c>
      <c r="P16" s="329"/>
      <c r="Q16" s="329"/>
      <c r="R16" s="328" t="s">
        <v>83</v>
      </c>
      <c r="S16" s="329"/>
      <c r="T16" s="329"/>
      <c r="U16" s="328" t="s">
        <v>83</v>
      </c>
      <c r="V16" s="329"/>
      <c r="W16" s="329"/>
      <c r="X16" s="328" t="s">
        <v>84</v>
      </c>
      <c r="Y16" s="329"/>
      <c r="Z16" s="329"/>
      <c r="AA16" s="328" t="s">
        <v>83</v>
      </c>
      <c r="AB16" s="329"/>
      <c r="AC16" s="329"/>
      <c r="AD16" s="328" t="s">
        <v>85</v>
      </c>
      <c r="AE16" s="329"/>
      <c r="AF16" s="329"/>
      <c r="AG16" s="328" t="s">
        <v>83</v>
      </c>
      <c r="AH16" s="329"/>
      <c r="AI16" s="329"/>
      <c r="AJ16" s="328" t="s">
        <v>83</v>
      </c>
      <c r="AK16" s="329"/>
      <c r="AL16" s="329"/>
      <c r="AM16" s="328"/>
      <c r="AN16" s="329"/>
      <c r="AO16" s="329"/>
      <c r="AP16" s="328"/>
      <c r="AQ16" s="329"/>
      <c r="AR16" s="329"/>
      <c r="AS16" s="328"/>
      <c r="AT16" s="329"/>
      <c r="AU16" s="329"/>
      <c r="AV16" s="328"/>
      <c r="AW16" s="329"/>
      <c r="AX16" s="329"/>
      <c r="AY16" s="328"/>
      <c r="AZ16" s="329"/>
      <c r="BA16" s="329"/>
      <c r="BB16" s="328"/>
      <c r="BC16" s="329"/>
      <c r="BD16" s="329"/>
      <c r="BE16" s="328"/>
      <c r="BF16" s="329"/>
      <c r="BG16" s="329"/>
      <c r="BH16" s="328"/>
      <c r="BI16" s="329"/>
      <c r="BJ16" s="329"/>
      <c r="BK16" s="328"/>
      <c r="BL16" s="329"/>
      <c r="BM16" s="329"/>
      <c r="BN16" s="328"/>
      <c r="BO16" s="329"/>
      <c r="BP16" s="329"/>
      <c r="BQ16" s="328"/>
      <c r="BR16" s="329"/>
      <c r="BS16" s="329"/>
      <c r="BT16" s="328"/>
      <c r="BU16" s="329"/>
      <c r="BV16" s="329"/>
      <c r="BW16" s="328"/>
      <c r="BX16" s="329"/>
      <c r="BY16" s="329"/>
      <c r="BZ16" s="328"/>
      <c r="CA16" s="329"/>
      <c r="CB16" s="329"/>
      <c r="CC16" s="328"/>
      <c r="CD16" s="329"/>
      <c r="CE16" s="329"/>
      <c r="CF16" s="328"/>
      <c r="CG16" s="329"/>
      <c r="CH16" s="329"/>
      <c r="CI16" s="328"/>
      <c r="CJ16" s="329"/>
      <c r="CK16" s="329"/>
      <c r="CL16" s="328"/>
      <c r="CM16" s="329"/>
      <c r="CN16" s="329"/>
      <c r="CO16" s="328"/>
      <c r="CP16" s="329"/>
      <c r="CQ16" s="329"/>
    </row>
    <row r="17" spans="1:95" s="13" customFormat="1" ht="15" customHeight="1" x14ac:dyDescent="0.25">
      <c r="A17" s="62" t="s">
        <v>67</v>
      </c>
      <c r="B17" s="62" t="s">
        <v>67</v>
      </c>
      <c r="C17" s="62"/>
      <c r="D17" s="290" t="s">
        <v>86</v>
      </c>
      <c r="E17" s="291"/>
      <c r="F17" s="330" t="s">
        <v>87</v>
      </c>
      <c r="G17" s="331"/>
      <c r="H17" s="331"/>
      <c r="I17" s="330" t="s">
        <v>88</v>
      </c>
      <c r="J17" s="331"/>
      <c r="K17" s="331"/>
      <c r="L17" s="330" t="s">
        <v>89</v>
      </c>
      <c r="M17" s="331"/>
      <c r="N17" s="331"/>
      <c r="O17" s="330" t="s">
        <v>90</v>
      </c>
      <c r="P17" s="331"/>
      <c r="Q17" s="331"/>
      <c r="R17" s="330" t="s">
        <v>91</v>
      </c>
      <c r="S17" s="331"/>
      <c r="T17" s="331"/>
      <c r="U17" s="330" t="s">
        <v>91</v>
      </c>
      <c r="V17" s="331"/>
      <c r="W17" s="331"/>
      <c r="X17" s="330" t="s">
        <v>92</v>
      </c>
      <c r="Y17" s="331"/>
      <c r="Z17" s="331"/>
      <c r="AA17" s="330" t="s">
        <v>93</v>
      </c>
      <c r="AB17" s="331"/>
      <c r="AC17" s="331"/>
      <c r="AD17" s="330" t="s">
        <v>94</v>
      </c>
      <c r="AE17" s="331"/>
      <c r="AF17" s="331"/>
      <c r="AG17" s="330" t="s">
        <v>95</v>
      </c>
      <c r="AH17" s="331"/>
      <c r="AI17" s="331"/>
      <c r="AJ17" s="330" t="s">
        <v>95</v>
      </c>
      <c r="AK17" s="331"/>
      <c r="AL17" s="331"/>
      <c r="AM17" s="330"/>
      <c r="AN17" s="331"/>
      <c r="AO17" s="331"/>
      <c r="AP17" s="330"/>
      <c r="AQ17" s="331"/>
      <c r="AR17" s="331"/>
      <c r="AS17" s="330"/>
      <c r="AT17" s="331"/>
      <c r="AU17" s="331"/>
      <c r="AV17" s="330"/>
      <c r="AW17" s="331"/>
      <c r="AX17" s="331"/>
      <c r="AY17" s="330"/>
      <c r="AZ17" s="331"/>
      <c r="BA17" s="331"/>
      <c r="BB17" s="330"/>
      <c r="BC17" s="331"/>
      <c r="BD17" s="331"/>
      <c r="BE17" s="330"/>
      <c r="BF17" s="331"/>
      <c r="BG17" s="331"/>
      <c r="BH17" s="330"/>
      <c r="BI17" s="331"/>
      <c r="BJ17" s="331"/>
      <c r="BK17" s="330"/>
      <c r="BL17" s="331"/>
      <c r="BM17" s="331"/>
      <c r="BN17" s="330"/>
      <c r="BO17" s="331"/>
      <c r="BP17" s="331"/>
      <c r="BQ17" s="330"/>
      <c r="BR17" s="331"/>
      <c r="BS17" s="331"/>
      <c r="BT17" s="330"/>
      <c r="BU17" s="331"/>
      <c r="BV17" s="331"/>
      <c r="BW17" s="330"/>
      <c r="BX17" s="331"/>
      <c r="BY17" s="331"/>
      <c r="BZ17" s="330"/>
      <c r="CA17" s="331"/>
      <c r="CB17" s="331"/>
      <c r="CC17" s="330"/>
      <c r="CD17" s="331"/>
      <c r="CE17" s="331"/>
      <c r="CF17" s="330"/>
      <c r="CG17" s="331"/>
      <c r="CH17" s="331"/>
      <c r="CI17" s="330"/>
      <c r="CJ17" s="331"/>
      <c r="CK17" s="331"/>
      <c r="CL17" s="330"/>
      <c r="CM17" s="331"/>
      <c r="CN17" s="331"/>
      <c r="CO17" s="330"/>
      <c r="CP17" s="331"/>
      <c r="CQ17" s="331"/>
    </row>
    <row r="18" spans="1:95" s="13" customFormat="1" ht="15" customHeight="1" x14ac:dyDescent="0.25">
      <c r="A18" s="62" t="s">
        <v>67</v>
      </c>
      <c r="B18" s="62" t="s">
        <v>67</v>
      </c>
      <c r="C18" s="62"/>
      <c r="D18" s="290" t="s">
        <v>96</v>
      </c>
      <c r="E18" s="291"/>
      <c r="F18" s="330" t="s">
        <v>97</v>
      </c>
      <c r="G18" s="331"/>
      <c r="H18" s="331"/>
      <c r="I18" s="330" t="s">
        <v>98</v>
      </c>
      <c r="J18" s="331"/>
      <c r="K18" s="331"/>
      <c r="L18" s="330" t="s">
        <v>97</v>
      </c>
      <c r="M18" s="331"/>
      <c r="N18" s="331"/>
      <c r="O18" s="330" t="s">
        <v>98</v>
      </c>
      <c r="P18" s="331"/>
      <c r="Q18" s="331"/>
      <c r="R18" s="330" t="s">
        <v>97</v>
      </c>
      <c r="S18" s="331"/>
      <c r="T18" s="331"/>
      <c r="U18" s="330" t="s">
        <v>97</v>
      </c>
      <c r="V18" s="331"/>
      <c r="W18" s="331"/>
      <c r="X18" s="330" t="s">
        <v>97</v>
      </c>
      <c r="Y18" s="331"/>
      <c r="Z18" s="331"/>
      <c r="AA18" s="330" t="s">
        <v>98</v>
      </c>
      <c r="AB18" s="331"/>
      <c r="AC18" s="331"/>
      <c r="AD18" s="330" t="s">
        <v>97</v>
      </c>
      <c r="AE18" s="331"/>
      <c r="AF18" s="331"/>
      <c r="AG18" s="330" t="s">
        <v>97</v>
      </c>
      <c r="AH18" s="331"/>
      <c r="AI18" s="331"/>
      <c r="AJ18" s="330" t="s">
        <v>97</v>
      </c>
      <c r="AK18" s="331"/>
      <c r="AL18" s="331"/>
      <c r="AM18" s="330"/>
      <c r="AN18" s="331"/>
      <c r="AO18" s="331"/>
      <c r="AP18" s="330"/>
      <c r="AQ18" s="331"/>
      <c r="AR18" s="331"/>
      <c r="AS18" s="330"/>
      <c r="AT18" s="331"/>
      <c r="AU18" s="331"/>
      <c r="AV18" s="330"/>
      <c r="AW18" s="331"/>
      <c r="AX18" s="331"/>
      <c r="AY18" s="330"/>
      <c r="AZ18" s="331"/>
      <c r="BA18" s="331"/>
      <c r="BB18" s="330"/>
      <c r="BC18" s="331"/>
      <c r="BD18" s="331"/>
      <c r="BE18" s="330"/>
      <c r="BF18" s="331"/>
      <c r="BG18" s="331"/>
      <c r="BH18" s="330"/>
      <c r="BI18" s="331"/>
      <c r="BJ18" s="331"/>
      <c r="BK18" s="330"/>
      <c r="BL18" s="331"/>
      <c r="BM18" s="331"/>
      <c r="BN18" s="330"/>
      <c r="BO18" s="331"/>
      <c r="BP18" s="331"/>
      <c r="BQ18" s="330"/>
      <c r="BR18" s="331"/>
      <c r="BS18" s="331"/>
      <c r="BT18" s="330"/>
      <c r="BU18" s="331"/>
      <c r="BV18" s="331"/>
      <c r="BW18" s="330"/>
      <c r="BX18" s="331"/>
      <c r="BY18" s="331"/>
      <c r="BZ18" s="330"/>
      <c r="CA18" s="331"/>
      <c r="CB18" s="331"/>
      <c r="CC18" s="330"/>
      <c r="CD18" s="331"/>
      <c r="CE18" s="331"/>
      <c r="CF18" s="330"/>
      <c r="CG18" s="331"/>
      <c r="CH18" s="331"/>
      <c r="CI18" s="330"/>
      <c r="CJ18" s="331"/>
      <c r="CK18" s="331"/>
      <c r="CL18" s="330"/>
      <c r="CM18" s="331"/>
      <c r="CN18" s="331"/>
      <c r="CO18" s="330"/>
      <c r="CP18" s="331"/>
      <c r="CQ18" s="331"/>
    </row>
    <row r="19" spans="1:95" s="13" customFormat="1" ht="15" customHeight="1" x14ac:dyDescent="0.25">
      <c r="A19" s="62" t="s">
        <v>67</v>
      </c>
      <c r="B19" s="62" t="s">
        <v>67</v>
      </c>
      <c r="C19" s="62"/>
      <c r="D19" s="290" t="s">
        <v>99</v>
      </c>
      <c r="E19" s="291"/>
      <c r="F19" s="330" t="s">
        <v>100</v>
      </c>
      <c r="G19" s="331"/>
      <c r="H19" s="331"/>
      <c r="I19" s="330" t="s">
        <v>101</v>
      </c>
      <c r="J19" s="331"/>
      <c r="K19" s="331"/>
      <c r="L19" s="330" t="s">
        <v>102</v>
      </c>
      <c r="M19" s="331"/>
      <c r="N19" s="331"/>
      <c r="O19" s="330" t="s">
        <v>103</v>
      </c>
      <c r="P19" s="331"/>
      <c r="Q19" s="331"/>
      <c r="R19" s="330" t="s">
        <v>104</v>
      </c>
      <c r="S19" s="331"/>
      <c r="T19" s="331"/>
      <c r="U19" s="330" t="s">
        <v>104</v>
      </c>
      <c r="V19" s="331"/>
      <c r="W19" s="331"/>
      <c r="X19" s="330" t="s">
        <v>101</v>
      </c>
      <c r="Y19" s="331"/>
      <c r="Z19" s="331"/>
      <c r="AA19" s="330" t="s">
        <v>101</v>
      </c>
      <c r="AB19" s="331"/>
      <c r="AC19" s="331"/>
      <c r="AD19" s="330" t="s">
        <v>102</v>
      </c>
      <c r="AE19" s="331"/>
      <c r="AF19" s="331"/>
      <c r="AG19" s="330" t="s">
        <v>102</v>
      </c>
      <c r="AH19" s="331"/>
      <c r="AI19" s="331"/>
      <c r="AJ19" s="330" t="s">
        <v>102</v>
      </c>
      <c r="AK19" s="331"/>
      <c r="AL19" s="331"/>
      <c r="AM19" s="330"/>
      <c r="AN19" s="331"/>
      <c r="AO19" s="331"/>
      <c r="AP19" s="330"/>
      <c r="AQ19" s="331"/>
      <c r="AR19" s="331"/>
      <c r="AS19" s="330"/>
      <c r="AT19" s="331"/>
      <c r="AU19" s="331"/>
      <c r="AV19" s="330"/>
      <c r="AW19" s="331"/>
      <c r="AX19" s="331"/>
      <c r="AY19" s="330"/>
      <c r="AZ19" s="331"/>
      <c r="BA19" s="331"/>
      <c r="BB19" s="330"/>
      <c r="BC19" s="331"/>
      <c r="BD19" s="331"/>
      <c r="BE19" s="330"/>
      <c r="BF19" s="331"/>
      <c r="BG19" s="331"/>
      <c r="BH19" s="330"/>
      <c r="BI19" s="331"/>
      <c r="BJ19" s="331"/>
      <c r="BK19" s="330"/>
      <c r="BL19" s="331"/>
      <c r="BM19" s="331"/>
      <c r="BN19" s="330"/>
      <c r="BO19" s="331"/>
      <c r="BP19" s="331"/>
      <c r="BQ19" s="330"/>
      <c r="BR19" s="331"/>
      <c r="BS19" s="331"/>
      <c r="BT19" s="330"/>
      <c r="BU19" s="331"/>
      <c r="BV19" s="331"/>
      <c r="BW19" s="330"/>
      <c r="BX19" s="331"/>
      <c r="BY19" s="331"/>
      <c r="BZ19" s="330"/>
      <c r="CA19" s="331"/>
      <c r="CB19" s="331"/>
      <c r="CC19" s="330"/>
      <c r="CD19" s="331"/>
      <c r="CE19" s="331"/>
      <c r="CF19" s="330"/>
      <c r="CG19" s="331"/>
      <c r="CH19" s="331"/>
      <c r="CI19" s="330"/>
      <c r="CJ19" s="331"/>
      <c r="CK19" s="331"/>
      <c r="CL19" s="330"/>
      <c r="CM19" s="331"/>
      <c r="CN19" s="331"/>
      <c r="CO19" s="330"/>
      <c r="CP19" s="331"/>
      <c r="CQ19" s="331"/>
    </row>
    <row r="20" spans="1:95" s="13" customFormat="1" ht="15" customHeight="1" x14ac:dyDescent="0.25">
      <c r="A20" s="62" t="s">
        <v>67</v>
      </c>
      <c r="B20" s="62" t="s">
        <v>67</v>
      </c>
      <c r="C20" s="62"/>
      <c r="D20" s="290" t="s">
        <v>105</v>
      </c>
      <c r="E20" s="291"/>
      <c r="F20" s="330" t="s">
        <v>106</v>
      </c>
      <c r="G20" s="331"/>
      <c r="H20" s="331"/>
      <c r="I20" s="330">
        <v>1</v>
      </c>
      <c r="J20" s="331"/>
      <c r="K20" s="331"/>
      <c r="L20" s="330">
        <v>26</v>
      </c>
      <c r="M20" s="331"/>
      <c r="N20" s="331"/>
      <c r="O20" s="330">
        <v>1</v>
      </c>
      <c r="P20" s="331"/>
      <c r="Q20" s="331"/>
      <c r="R20" s="330">
        <v>8</v>
      </c>
      <c r="S20" s="331"/>
      <c r="T20" s="331"/>
      <c r="U20" s="330">
        <v>8</v>
      </c>
      <c r="V20" s="331"/>
      <c r="W20" s="331"/>
      <c r="X20" s="330">
        <v>26</v>
      </c>
      <c r="Y20" s="331"/>
      <c r="Z20" s="331"/>
      <c r="AA20" s="330">
        <v>1</v>
      </c>
      <c r="AB20" s="331"/>
      <c r="AC20" s="331"/>
      <c r="AD20" s="330">
        <v>3</v>
      </c>
      <c r="AE20" s="331"/>
      <c r="AF20" s="331"/>
      <c r="AG20" s="330">
        <v>9</v>
      </c>
      <c r="AH20" s="331"/>
      <c r="AI20" s="331"/>
      <c r="AJ20" s="330">
        <v>9</v>
      </c>
      <c r="AK20" s="331"/>
      <c r="AL20" s="331"/>
      <c r="AM20" s="330"/>
      <c r="AN20" s="331"/>
      <c r="AO20" s="331"/>
      <c r="AP20" s="330"/>
      <c r="AQ20" s="331"/>
      <c r="AR20" s="331"/>
      <c r="AS20" s="330"/>
      <c r="AT20" s="331"/>
      <c r="AU20" s="331"/>
      <c r="AV20" s="330"/>
      <c r="AW20" s="331"/>
      <c r="AX20" s="331"/>
      <c r="AY20" s="330"/>
      <c r="AZ20" s="331"/>
      <c r="BA20" s="331"/>
      <c r="BB20" s="330"/>
      <c r="BC20" s="331"/>
      <c r="BD20" s="331"/>
      <c r="BE20" s="330"/>
      <c r="BF20" s="331"/>
      <c r="BG20" s="331"/>
      <c r="BH20" s="330"/>
      <c r="BI20" s="331"/>
      <c r="BJ20" s="331"/>
      <c r="BK20" s="330"/>
      <c r="BL20" s="331"/>
      <c r="BM20" s="331"/>
      <c r="BN20" s="330"/>
      <c r="BO20" s="331"/>
      <c r="BP20" s="331"/>
      <c r="BQ20" s="330"/>
      <c r="BR20" s="331"/>
      <c r="BS20" s="331"/>
      <c r="BT20" s="330"/>
      <c r="BU20" s="331"/>
      <c r="BV20" s="331"/>
      <c r="BW20" s="330"/>
      <c r="BX20" s="331"/>
      <c r="BY20" s="331"/>
      <c r="BZ20" s="330"/>
      <c r="CA20" s="331"/>
      <c r="CB20" s="331"/>
      <c r="CC20" s="330"/>
      <c r="CD20" s="331"/>
      <c r="CE20" s="331"/>
      <c r="CF20" s="330"/>
      <c r="CG20" s="331"/>
      <c r="CH20" s="331"/>
      <c r="CI20" s="330"/>
      <c r="CJ20" s="331"/>
      <c r="CK20" s="331"/>
      <c r="CL20" s="330"/>
      <c r="CM20" s="331"/>
      <c r="CN20" s="331"/>
      <c r="CO20" s="330"/>
      <c r="CP20" s="331"/>
      <c r="CQ20" s="331"/>
    </row>
    <row r="21" spans="1:95" s="13" customFormat="1" ht="45" customHeight="1" x14ac:dyDescent="0.25">
      <c r="A21" s="62" t="s">
        <v>67</v>
      </c>
      <c r="B21" s="62" t="s">
        <v>67</v>
      </c>
      <c r="C21" s="62"/>
      <c r="D21" s="290" t="s">
        <v>107</v>
      </c>
      <c r="E21" s="291"/>
      <c r="F21" s="330" t="s">
        <v>108</v>
      </c>
      <c r="G21" s="331"/>
      <c r="H21" s="331"/>
      <c r="I21" s="330" t="s">
        <v>109</v>
      </c>
      <c r="J21" s="331"/>
      <c r="K21" s="331"/>
      <c r="L21" s="330" t="s">
        <v>110</v>
      </c>
      <c r="M21" s="331"/>
      <c r="N21" s="331"/>
      <c r="O21" s="330" t="s">
        <v>111</v>
      </c>
      <c r="P21" s="331"/>
      <c r="Q21" s="331"/>
      <c r="R21" s="330" t="s">
        <v>112</v>
      </c>
      <c r="S21" s="331"/>
      <c r="T21" s="331"/>
      <c r="U21" s="330" t="s">
        <v>112</v>
      </c>
      <c r="V21" s="331"/>
      <c r="W21" s="331"/>
      <c r="X21" s="330" t="s">
        <v>113</v>
      </c>
      <c r="Y21" s="331"/>
      <c r="Z21" s="331"/>
      <c r="AA21" s="330" t="s">
        <v>114</v>
      </c>
      <c r="AB21" s="331"/>
      <c r="AC21" s="331"/>
      <c r="AD21" s="330" t="s">
        <v>115</v>
      </c>
      <c r="AE21" s="331"/>
      <c r="AF21" s="331"/>
      <c r="AG21" s="330" t="s">
        <v>116</v>
      </c>
      <c r="AH21" s="331"/>
      <c r="AI21" s="331"/>
      <c r="AJ21" s="330" t="s">
        <v>116</v>
      </c>
      <c r="AK21" s="331"/>
      <c r="AL21" s="331"/>
      <c r="AM21" s="330"/>
      <c r="AN21" s="331"/>
      <c r="AO21" s="331"/>
      <c r="AP21" s="330"/>
      <c r="AQ21" s="331"/>
      <c r="AR21" s="331"/>
      <c r="AS21" s="330"/>
      <c r="AT21" s="331"/>
      <c r="AU21" s="331"/>
      <c r="AV21" s="330"/>
      <c r="AW21" s="331"/>
      <c r="AX21" s="331"/>
      <c r="AY21" s="330"/>
      <c r="AZ21" s="331"/>
      <c r="BA21" s="331"/>
      <c r="BB21" s="330"/>
      <c r="BC21" s="331"/>
      <c r="BD21" s="331"/>
      <c r="BE21" s="330"/>
      <c r="BF21" s="331"/>
      <c r="BG21" s="331"/>
      <c r="BH21" s="330"/>
      <c r="BI21" s="331"/>
      <c r="BJ21" s="331"/>
      <c r="BK21" s="330"/>
      <c r="BL21" s="331"/>
      <c r="BM21" s="331"/>
      <c r="BN21" s="330"/>
      <c r="BO21" s="331"/>
      <c r="BP21" s="331"/>
      <c r="BQ21" s="330"/>
      <c r="BR21" s="331"/>
      <c r="BS21" s="331"/>
      <c r="BT21" s="330"/>
      <c r="BU21" s="331"/>
      <c r="BV21" s="331"/>
      <c r="BW21" s="330"/>
      <c r="BX21" s="331"/>
      <c r="BY21" s="331"/>
      <c r="BZ21" s="330"/>
      <c r="CA21" s="331"/>
      <c r="CB21" s="331"/>
      <c r="CC21" s="330"/>
      <c r="CD21" s="331"/>
      <c r="CE21" s="331"/>
      <c r="CF21" s="330"/>
      <c r="CG21" s="331"/>
      <c r="CH21" s="331"/>
      <c r="CI21" s="330"/>
      <c r="CJ21" s="331"/>
      <c r="CK21" s="331"/>
      <c r="CL21" s="330"/>
      <c r="CM21" s="331"/>
      <c r="CN21" s="331"/>
      <c r="CO21" s="330"/>
      <c r="CP21" s="331"/>
      <c r="CQ21" s="331"/>
    </row>
    <row r="22" spans="1:95" s="13" customFormat="1" ht="45" customHeight="1" x14ac:dyDescent="0.25">
      <c r="A22" s="62" t="s">
        <v>67</v>
      </c>
      <c r="B22" s="62" t="s">
        <v>67</v>
      </c>
      <c r="C22" s="62"/>
      <c r="D22" s="306" t="s">
        <v>117</v>
      </c>
      <c r="E22" s="307"/>
      <c r="F22" s="334" t="s">
        <v>118</v>
      </c>
      <c r="G22" s="335"/>
      <c r="H22" s="335"/>
      <c r="I22" s="330" t="s">
        <v>119</v>
      </c>
      <c r="J22" s="331"/>
      <c r="K22" s="331"/>
      <c r="L22" s="330" t="s">
        <v>84</v>
      </c>
      <c r="M22" s="331"/>
      <c r="N22" s="331"/>
      <c r="O22" s="330" t="s">
        <v>84</v>
      </c>
      <c r="P22" s="331"/>
      <c r="Q22" s="331"/>
      <c r="R22" s="330" t="s">
        <v>84</v>
      </c>
      <c r="S22" s="331"/>
      <c r="T22" s="331"/>
      <c r="U22" s="330" t="s">
        <v>84</v>
      </c>
      <c r="V22" s="331"/>
      <c r="W22" s="331"/>
      <c r="X22" s="330" t="s">
        <v>84</v>
      </c>
      <c r="Y22" s="331"/>
      <c r="Z22" s="331"/>
      <c r="AA22" s="330" t="s">
        <v>84</v>
      </c>
      <c r="AB22" s="331"/>
      <c r="AC22" s="331"/>
      <c r="AD22" s="330" t="s">
        <v>120</v>
      </c>
      <c r="AE22" s="331"/>
      <c r="AF22" s="331"/>
      <c r="AG22" s="330" t="s">
        <v>121</v>
      </c>
      <c r="AH22" s="331"/>
      <c r="AI22" s="331"/>
      <c r="AJ22" s="330" t="s">
        <v>121</v>
      </c>
      <c r="AK22" s="331"/>
      <c r="AL22" s="331"/>
      <c r="AM22" s="330"/>
      <c r="AN22" s="331"/>
      <c r="AO22" s="331"/>
      <c r="AP22" s="330"/>
      <c r="AQ22" s="331"/>
      <c r="AR22" s="331"/>
      <c r="AS22" s="330"/>
      <c r="AT22" s="331"/>
      <c r="AU22" s="331"/>
      <c r="AV22" s="330"/>
      <c r="AW22" s="331"/>
      <c r="AX22" s="331"/>
      <c r="AY22" s="330"/>
      <c r="AZ22" s="331"/>
      <c r="BA22" s="331"/>
      <c r="BB22" s="330"/>
      <c r="BC22" s="331"/>
      <c r="BD22" s="331"/>
      <c r="BE22" s="330"/>
      <c r="BF22" s="331"/>
      <c r="BG22" s="331"/>
      <c r="BH22" s="330"/>
      <c r="BI22" s="331"/>
      <c r="BJ22" s="331"/>
      <c r="BK22" s="330"/>
      <c r="BL22" s="331"/>
      <c r="BM22" s="331"/>
      <c r="BN22" s="330"/>
      <c r="BO22" s="331"/>
      <c r="BP22" s="331"/>
      <c r="BQ22" s="330"/>
      <c r="BR22" s="331"/>
      <c r="BS22" s="331"/>
      <c r="BT22" s="330"/>
      <c r="BU22" s="331"/>
      <c r="BV22" s="331"/>
      <c r="BW22" s="330"/>
      <c r="BX22" s="331"/>
      <c r="BY22" s="331"/>
      <c r="BZ22" s="330"/>
      <c r="CA22" s="331"/>
      <c r="CB22" s="331"/>
      <c r="CC22" s="330"/>
      <c r="CD22" s="331"/>
      <c r="CE22" s="331"/>
      <c r="CF22" s="330"/>
      <c r="CG22" s="331"/>
      <c r="CH22" s="331"/>
      <c r="CI22" s="330"/>
      <c r="CJ22" s="331"/>
      <c r="CK22" s="331"/>
      <c r="CL22" s="330"/>
      <c r="CM22" s="331"/>
      <c r="CN22" s="331"/>
      <c r="CO22" s="330"/>
      <c r="CP22" s="331"/>
      <c r="CQ22" s="331"/>
    </row>
    <row r="23" spans="1:95" s="13" customFormat="1" ht="15" customHeight="1" x14ac:dyDescent="0.25">
      <c r="A23" s="62" t="s">
        <v>67</v>
      </c>
      <c r="B23" s="62" t="s">
        <v>67</v>
      </c>
      <c r="C23" s="62"/>
      <c r="D23" s="65" t="s">
        <v>122</v>
      </c>
      <c r="E23" s="66" t="s">
        <v>123</v>
      </c>
      <c r="F23" s="316" t="s">
        <v>124</v>
      </c>
      <c r="G23" s="317"/>
      <c r="H23" s="57" t="s">
        <v>125</v>
      </c>
      <c r="I23" s="316" t="s">
        <v>124</v>
      </c>
      <c r="J23" s="317"/>
      <c r="K23" s="57" t="s">
        <v>125</v>
      </c>
      <c r="L23" s="316" t="s">
        <v>124</v>
      </c>
      <c r="M23" s="317"/>
      <c r="N23" s="57" t="s">
        <v>125</v>
      </c>
      <c r="O23" s="316" t="s">
        <v>124</v>
      </c>
      <c r="P23" s="317"/>
      <c r="Q23" s="57" t="s">
        <v>125</v>
      </c>
      <c r="R23" s="316" t="s">
        <v>124</v>
      </c>
      <c r="S23" s="317"/>
      <c r="T23" s="57" t="s">
        <v>125</v>
      </c>
      <c r="U23" s="316" t="s">
        <v>124</v>
      </c>
      <c r="V23" s="317"/>
      <c r="W23" s="57" t="s">
        <v>125</v>
      </c>
      <c r="X23" s="316" t="s">
        <v>124</v>
      </c>
      <c r="Y23" s="317"/>
      <c r="Z23" s="57" t="s">
        <v>125</v>
      </c>
      <c r="AA23" s="316" t="s">
        <v>124</v>
      </c>
      <c r="AB23" s="317"/>
      <c r="AC23" s="57" t="s">
        <v>125</v>
      </c>
      <c r="AD23" s="316" t="s">
        <v>124</v>
      </c>
      <c r="AE23" s="317"/>
      <c r="AF23" s="57" t="s">
        <v>125</v>
      </c>
      <c r="AG23" s="316" t="s">
        <v>124</v>
      </c>
      <c r="AH23" s="317"/>
      <c r="AI23" s="57" t="s">
        <v>125</v>
      </c>
      <c r="AJ23" s="316" t="s">
        <v>124</v>
      </c>
      <c r="AK23" s="317"/>
      <c r="AL23" s="57" t="s">
        <v>125</v>
      </c>
      <c r="AM23" s="316" t="s">
        <v>124</v>
      </c>
      <c r="AN23" s="317"/>
      <c r="AO23" s="57" t="s">
        <v>125</v>
      </c>
      <c r="AP23" s="316" t="s">
        <v>124</v>
      </c>
      <c r="AQ23" s="317"/>
      <c r="AR23" s="57" t="s">
        <v>125</v>
      </c>
      <c r="AS23" s="316" t="s">
        <v>124</v>
      </c>
      <c r="AT23" s="317"/>
      <c r="AU23" s="57" t="s">
        <v>125</v>
      </c>
      <c r="AV23" s="316" t="s">
        <v>124</v>
      </c>
      <c r="AW23" s="317"/>
      <c r="AX23" s="57" t="s">
        <v>125</v>
      </c>
      <c r="AY23" s="316" t="s">
        <v>124</v>
      </c>
      <c r="AZ23" s="317"/>
      <c r="BA23" s="57" t="s">
        <v>125</v>
      </c>
      <c r="BB23" s="316" t="s">
        <v>124</v>
      </c>
      <c r="BC23" s="317"/>
      <c r="BD23" s="57" t="s">
        <v>125</v>
      </c>
      <c r="BE23" s="316" t="s">
        <v>124</v>
      </c>
      <c r="BF23" s="317"/>
      <c r="BG23" s="57" t="s">
        <v>125</v>
      </c>
      <c r="BH23" s="316" t="s">
        <v>124</v>
      </c>
      <c r="BI23" s="317"/>
      <c r="BJ23" s="57" t="s">
        <v>125</v>
      </c>
      <c r="BK23" s="316" t="s">
        <v>124</v>
      </c>
      <c r="BL23" s="317"/>
      <c r="BM23" s="57" t="s">
        <v>125</v>
      </c>
      <c r="BN23" s="316" t="s">
        <v>124</v>
      </c>
      <c r="BO23" s="317"/>
      <c r="BP23" s="57" t="s">
        <v>125</v>
      </c>
      <c r="BQ23" s="316" t="s">
        <v>124</v>
      </c>
      <c r="BR23" s="317"/>
      <c r="BS23" s="57" t="s">
        <v>125</v>
      </c>
      <c r="BT23" s="316" t="s">
        <v>124</v>
      </c>
      <c r="BU23" s="317"/>
      <c r="BV23" s="57" t="s">
        <v>125</v>
      </c>
      <c r="BW23" s="316" t="s">
        <v>124</v>
      </c>
      <c r="BX23" s="317"/>
      <c r="BY23" s="57" t="s">
        <v>125</v>
      </c>
      <c r="BZ23" s="316" t="s">
        <v>124</v>
      </c>
      <c r="CA23" s="317"/>
      <c r="CB23" s="57" t="s">
        <v>125</v>
      </c>
      <c r="CC23" s="316" t="s">
        <v>124</v>
      </c>
      <c r="CD23" s="317"/>
      <c r="CE23" s="57" t="s">
        <v>125</v>
      </c>
      <c r="CF23" s="316" t="s">
        <v>124</v>
      </c>
      <c r="CG23" s="317"/>
      <c r="CH23" s="57" t="s">
        <v>125</v>
      </c>
      <c r="CI23" s="316" t="s">
        <v>124</v>
      </c>
      <c r="CJ23" s="317"/>
      <c r="CK23" s="57" t="s">
        <v>125</v>
      </c>
      <c r="CL23" s="316" t="s">
        <v>124</v>
      </c>
      <c r="CM23" s="317"/>
      <c r="CN23" s="57" t="s">
        <v>125</v>
      </c>
      <c r="CO23" s="316" t="s">
        <v>124</v>
      </c>
      <c r="CP23" s="317"/>
      <c r="CQ23" s="57" t="s">
        <v>125</v>
      </c>
    </row>
    <row r="24" spans="1:95" s="13" customFormat="1" ht="15" customHeight="1" x14ac:dyDescent="0.25">
      <c r="A24" s="62" t="s">
        <v>67</v>
      </c>
      <c r="B24" s="62" t="s">
        <v>67</v>
      </c>
      <c r="C24" s="62"/>
      <c r="D24" s="67" t="str">
        <f>IF(E24="","2.8.1 Characteristic 1", CONCATENATE("2.8.1 ", E24))</f>
        <v>2.8.1 Age of participants</v>
      </c>
      <c r="E24" s="79" t="s">
        <v>126</v>
      </c>
      <c r="F24" s="314" t="s">
        <v>127</v>
      </c>
      <c r="G24" s="315"/>
      <c r="H24" s="174" t="s">
        <v>128</v>
      </c>
      <c r="I24" s="314" t="s">
        <v>129</v>
      </c>
      <c r="J24" s="315"/>
      <c r="K24" s="174" t="s">
        <v>130</v>
      </c>
      <c r="L24" s="314" t="s">
        <v>131</v>
      </c>
      <c r="M24" s="315"/>
      <c r="N24" s="174" t="s">
        <v>130</v>
      </c>
      <c r="O24" s="314" t="s">
        <v>132</v>
      </c>
      <c r="P24" s="315"/>
      <c r="Q24" s="174" t="s">
        <v>128</v>
      </c>
      <c r="R24" s="314" t="s">
        <v>133</v>
      </c>
      <c r="S24" s="315"/>
      <c r="T24" s="174" t="s">
        <v>130</v>
      </c>
      <c r="U24" s="314" t="s">
        <v>133</v>
      </c>
      <c r="V24" s="315"/>
      <c r="W24" s="174" t="s">
        <v>130</v>
      </c>
      <c r="X24" s="314" t="s">
        <v>134</v>
      </c>
      <c r="Y24" s="315"/>
      <c r="Z24" s="174" t="s">
        <v>130</v>
      </c>
      <c r="AA24" s="314" t="s">
        <v>135</v>
      </c>
      <c r="AB24" s="315"/>
      <c r="AC24" s="174" t="s">
        <v>130</v>
      </c>
      <c r="AD24" s="314" t="s">
        <v>136</v>
      </c>
      <c r="AE24" s="315"/>
      <c r="AF24" s="174" t="s">
        <v>130</v>
      </c>
      <c r="AG24" s="314" t="s">
        <v>137</v>
      </c>
      <c r="AH24" s="315"/>
      <c r="AI24" s="174" t="s">
        <v>130</v>
      </c>
      <c r="AJ24" s="314" t="s">
        <v>137</v>
      </c>
      <c r="AK24" s="315"/>
      <c r="AL24" s="174" t="s">
        <v>130</v>
      </c>
      <c r="AM24" s="314"/>
      <c r="AN24" s="315"/>
      <c r="AO24" s="174"/>
      <c r="AP24" s="314"/>
      <c r="AQ24" s="315"/>
      <c r="AR24" s="174"/>
      <c r="AS24" s="314"/>
      <c r="AT24" s="315"/>
      <c r="AU24" s="174"/>
      <c r="AV24" s="314"/>
      <c r="AW24" s="315"/>
      <c r="AX24" s="174"/>
      <c r="AY24" s="314"/>
      <c r="AZ24" s="315"/>
      <c r="BA24" s="174"/>
      <c r="BB24" s="314"/>
      <c r="BC24" s="315"/>
      <c r="BD24" s="174"/>
      <c r="BE24" s="314"/>
      <c r="BF24" s="315"/>
      <c r="BG24" s="174"/>
      <c r="BH24" s="314"/>
      <c r="BI24" s="315"/>
      <c r="BJ24" s="174"/>
      <c r="BK24" s="314"/>
      <c r="BL24" s="315"/>
      <c r="BM24" s="174"/>
      <c r="BN24" s="314"/>
      <c r="BO24" s="315"/>
      <c r="BP24" s="174"/>
      <c r="BQ24" s="314"/>
      <c r="BR24" s="315"/>
      <c r="BS24" s="174"/>
      <c r="BT24" s="314"/>
      <c r="BU24" s="315"/>
      <c r="BV24" s="174"/>
      <c r="BW24" s="314"/>
      <c r="BX24" s="315"/>
      <c r="BY24" s="174"/>
      <c r="BZ24" s="314"/>
      <c r="CA24" s="315"/>
      <c r="CB24" s="174"/>
      <c r="CC24" s="314"/>
      <c r="CD24" s="315"/>
      <c r="CE24" s="174"/>
      <c r="CF24" s="314"/>
      <c r="CG24" s="315"/>
      <c r="CH24" s="174"/>
      <c r="CI24" s="314"/>
      <c r="CJ24" s="315"/>
      <c r="CK24" s="174"/>
      <c r="CL24" s="314"/>
      <c r="CM24" s="315"/>
      <c r="CN24" s="174"/>
      <c r="CO24" s="314"/>
      <c r="CP24" s="315"/>
      <c r="CQ24" s="174"/>
    </row>
    <row r="25" spans="1:95" s="13" customFormat="1" ht="15" customHeight="1" x14ac:dyDescent="0.25">
      <c r="A25" s="62" t="s">
        <v>67</v>
      </c>
      <c r="B25" s="62" t="s">
        <v>67</v>
      </c>
      <c r="C25" s="62"/>
      <c r="D25" s="67" t="str">
        <f>IF(E25="","2.8.2 Characteristic 2", CONCATENATE("2.8.2 ", E25))</f>
        <v>2.8.2 Native valve endocarditis</v>
      </c>
      <c r="E25" s="79" t="s">
        <v>138</v>
      </c>
      <c r="F25" s="312" t="s">
        <v>84</v>
      </c>
      <c r="G25" s="313"/>
      <c r="H25" s="175" t="s">
        <v>84</v>
      </c>
      <c r="I25" s="312" t="s">
        <v>139</v>
      </c>
      <c r="J25" s="313"/>
      <c r="K25" s="175" t="s">
        <v>140</v>
      </c>
      <c r="L25" s="312" t="s">
        <v>141</v>
      </c>
      <c r="M25" s="313"/>
      <c r="N25" s="175" t="s">
        <v>140</v>
      </c>
      <c r="O25" s="312" t="s">
        <v>142</v>
      </c>
      <c r="P25" s="313"/>
      <c r="Q25" s="175" t="s">
        <v>140</v>
      </c>
      <c r="R25" s="312" t="s">
        <v>143</v>
      </c>
      <c r="S25" s="313"/>
      <c r="T25" s="175" t="s">
        <v>140</v>
      </c>
      <c r="U25" s="312" t="s">
        <v>143</v>
      </c>
      <c r="V25" s="313"/>
      <c r="W25" s="175" t="s">
        <v>140</v>
      </c>
      <c r="X25" s="312" t="s">
        <v>144</v>
      </c>
      <c r="Y25" s="313"/>
      <c r="Z25" s="175" t="s">
        <v>140</v>
      </c>
      <c r="AA25" s="312" t="s">
        <v>145</v>
      </c>
      <c r="AB25" s="313"/>
      <c r="AC25" s="175" t="s">
        <v>140</v>
      </c>
      <c r="AD25" s="312" t="s">
        <v>146</v>
      </c>
      <c r="AE25" s="313"/>
      <c r="AF25" s="175" t="s">
        <v>140</v>
      </c>
      <c r="AG25" s="312" t="s">
        <v>84</v>
      </c>
      <c r="AH25" s="313"/>
      <c r="AI25" s="175" t="s">
        <v>84</v>
      </c>
      <c r="AJ25" s="312" t="s">
        <v>84</v>
      </c>
      <c r="AK25" s="313"/>
      <c r="AL25" s="175" t="s">
        <v>84</v>
      </c>
      <c r="AM25" s="312"/>
      <c r="AN25" s="313"/>
      <c r="AO25" s="175"/>
      <c r="AP25" s="312"/>
      <c r="AQ25" s="313"/>
      <c r="AR25" s="175"/>
      <c r="AS25" s="312"/>
      <c r="AT25" s="313"/>
      <c r="AU25" s="175"/>
      <c r="AV25" s="312"/>
      <c r="AW25" s="313"/>
      <c r="AX25" s="175"/>
      <c r="AY25" s="312"/>
      <c r="AZ25" s="313"/>
      <c r="BA25" s="175"/>
      <c r="BB25" s="312"/>
      <c r="BC25" s="313"/>
      <c r="BD25" s="175"/>
      <c r="BE25" s="312"/>
      <c r="BF25" s="313"/>
      <c r="BG25" s="175"/>
      <c r="BH25" s="312"/>
      <c r="BI25" s="313"/>
      <c r="BJ25" s="175"/>
      <c r="BK25" s="312"/>
      <c r="BL25" s="313"/>
      <c r="BM25" s="175"/>
      <c r="BN25" s="312"/>
      <c r="BO25" s="313"/>
      <c r="BP25" s="175"/>
      <c r="BQ25" s="312"/>
      <c r="BR25" s="313"/>
      <c r="BS25" s="175"/>
      <c r="BT25" s="312"/>
      <c r="BU25" s="313"/>
      <c r="BV25" s="175"/>
      <c r="BW25" s="312"/>
      <c r="BX25" s="313"/>
      <c r="BY25" s="175"/>
      <c r="BZ25" s="312"/>
      <c r="CA25" s="313"/>
      <c r="CB25" s="175"/>
      <c r="CC25" s="312"/>
      <c r="CD25" s="313"/>
      <c r="CE25" s="175"/>
      <c r="CF25" s="312"/>
      <c r="CG25" s="313"/>
      <c r="CH25" s="175"/>
      <c r="CI25" s="312"/>
      <c r="CJ25" s="313"/>
      <c r="CK25" s="175"/>
      <c r="CL25" s="312"/>
      <c r="CM25" s="313"/>
      <c r="CN25" s="175"/>
      <c r="CO25" s="312"/>
      <c r="CP25" s="313"/>
      <c r="CQ25" s="175"/>
    </row>
    <row r="26" spans="1:95" s="13" customFormat="1" ht="15" customHeight="1" x14ac:dyDescent="0.25">
      <c r="A26" s="62" t="s">
        <v>67</v>
      </c>
      <c r="B26" s="62" t="s">
        <v>67</v>
      </c>
      <c r="C26" s="62"/>
      <c r="D26" s="67" t="str">
        <f>IF(E26="","2.8.3 Characteristic 3", CONCATENATE("2.8.3 ", E26))</f>
        <v>2.8.3 Valve affected</v>
      </c>
      <c r="E26" s="79" t="s">
        <v>147</v>
      </c>
      <c r="F26" s="312" t="s">
        <v>148</v>
      </c>
      <c r="G26" s="313"/>
      <c r="H26" s="175" t="s">
        <v>149</v>
      </c>
      <c r="I26" s="312" t="s">
        <v>148</v>
      </c>
      <c r="J26" s="313"/>
      <c r="K26" s="175" t="s">
        <v>149</v>
      </c>
      <c r="L26" s="312" t="s">
        <v>148</v>
      </c>
      <c r="M26" s="313"/>
      <c r="N26" s="175" t="s">
        <v>149</v>
      </c>
      <c r="O26" s="312" t="s">
        <v>148</v>
      </c>
      <c r="P26" s="313"/>
      <c r="Q26" s="175" t="s">
        <v>149</v>
      </c>
      <c r="R26" s="312" t="s">
        <v>148</v>
      </c>
      <c r="S26" s="313"/>
      <c r="T26" s="175" t="s">
        <v>149</v>
      </c>
      <c r="U26" s="312" t="s">
        <v>148</v>
      </c>
      <c r="V26" s="313"/>
      <c r="W26" s="175" t="s">
        <v>149</v>
      </c>
      <c r="X26" s="312" t="s">
        <v>148</v>
      </c>
      <c r="Y26" s="313"/>
      <c r="Z26" s="175" t="s">
        <v>149</v>
      </c>
      <c r="AA26" s="312" t="s">
        <v>148</v>
      </c>
      <c r="AB26" s="313"/>
      <c r="AC26" s="175" t="s">
        <v>149</v>
      </c>
      <c r="AD26" s="312" t="s">
        <v>150</v>
      </c>
      <c r="AE26" s="313"/>
      <c r="AF26" s="175" t="s">
        <v>149</v>
      </c>
      <c r="AG26" s="312" t="s">
        <v>148</v>
      </c>
      <c r="AH26" s="313"/>
      <c r="AI26" s="175" t="s">
        <v>149</v>
      </c>
      <c r="AJ26" s="312" t="s">
        <v>148</v>
      </c>
      <c r="AK26" s="313"/>
      <c r="AL26" s="175" t="s">
        <v>149</v>
      </c>
      <c r="AM26" s="312"/>
      <c r="AN26" s="313"/>
      <c r="AO26" s="175"/>
      <c r="AP26" s="312"/>
      <c r="AQ26" s="313"/>
      <c r="AR26" s="175"/>
      <c r="AS26" s="312"/>
      <c r="AT26" s="313"/>
      <c r="AU26" s="175"/>
      <c r="AV26" s="312"/>
      <c r="AW26" s="313"/>
      <c r="AX26" s="175"/>
      <c r="AY26" s="312"/>
      <c r="AZ26" s="313"/>
      <c r="BA26" s="175"/>
      <c r="BB26" s="312"/>
      <c r="BC26" s="313"/>
      <c r="BD26" s="175"/>
      <c r="BE26" s="312"/>
      <c r="BF26" s="313"/>
      <c r="BG26" s="175"/>
      <c r="BH26" s="312"/>
      <c r="BI26" s="313"/>
      <c r="BJ26" s="175"/>
      <c r="BK26" s="312"/>
      <c r="BL26" s="313"/>
      <c r="BM26" s="175"/>
      <c r="BN26" s="312"/>
      <c r="BO26" s="313"/>
      <c r="BP26" s="175"/>
      <c r="BQ26" s="312"/>
      <c r="BR26" s="313"/>
      <c r="BS26" s="175"/>
      <c r="BT26" s="312"/>
      <c r="BU26" s="313"/>
      <c r="BV26" s="175"/>
      <c r="BW26" s="312"/>
      <c r="BX26" s="313"/>
      <c r="BY26" s="175"/>
      <c r="BZ26" s="312"/>
      <c r="CA26" s="313"/>
      <c r="CB26" s="175"/>
      <c r="CC26" s="312"/>
      <c r="CD26" s="313"/>
      <c r="CE26" s="175"/>
      <c r="CF26" s="312"/>
      <c r="CG26" s="313"/>
      <c r="CH26" s="175"/>
      <c r="CI26" s="312"/>
      <c r="CJ26" s="313"/>
      <c r="CK26" s="175"/>
      <c r="CL26" s="312"/>
      <c r="CM26" s="313"/>
      <c r="CN26" s="175"/>
      <c r="CO26" s="312"/>
      <c r="CP26" s="313"/>
      <c r="CQ26" s="175"/>
    </row>
    <row r="27" spans="1:95" s="13" customFormat="1" ht="15" customHeight="1" x14ac:dyDescent="0.25">
      <c r="A27" s="62" t="s">
        <v>67</v>
      </c>
      <c r="B27" s="62" t="s">
        <v>67</v>
      </c>
      <c r="C27" s="62"/>
      <c r="D27" s="67" t="str">
        <f>IF(E27="","2.8.4 Characteristic 4", CONCATENATE("2.8.4 ", E27))</f>
        <v>2.8.4 Characteristic 4</v>
      </c>
      <c r="E27" s="79"/>
      <c r="F27" s="312"/>
      <c r="G27" s="313"/>
      <c r="H27" s="175"/>
      <c r="I27" s="312"/>
      <c r="J27" s="313"/>
      <c r="K27" s="175"/>
      <c r="L27" s="312"/>
      <c r="M27" s="313"/>
      <c r="N27" s="175"/>
      <c r="O27" s="312"/>
      <c r="P27" s="313"/>
      <c r="Q27" s="175"/>
      <c r="R27" s="312"/>
      <c r="S27" s="313"/>
      <c r="T27" s="175"/>
      <c r="U27" s="312"/>
      <c r="V27" s="313"/>
      <c r="W27" s="175"/>
      <c r="X27" s="312"/>
      <c r="Y27" s="313"/>
      <c r="Z27" s="175"/>
      <c r="AA27" s="312"/>
      <c r="AB27" s="313"/>
      <c r="AC27" s="175"/>
      <c r="AD27" s="312"/>
      <c r="AE27" s="313"/>
      <c r="AF27" s="175"/>
      <c r="AG27" s="312"/>
      <c r="AH27" s="313"/>
      <c r="AI27" s="175"/>
      <c r="AJ27" s="312"/>
      <c r="AK27" s="313"/>
      <c r="AL27" s="175"/>
      <c r="AM27" s="312"/>
      <c r="AN27" s="313"/>
      <c r="AO27" s="175"/>
      <c r="AP27" s="312"/>
      <c r="AQ27" s="313"/>
      <c r="AR27" s="175"/>
      <c r="AS27" s="312"/>
      <c r="AT27" s="313"/>
      <c r="AU27" s="175"/>
      <c r="AV27" s="312"/>
      <c r="AW27" s="313"/>
      <c r="AX27" s="175"/>
      <c r="AY27" s="312"/>
      <c r="AZ27" s="313"/>
      <c r="BA27" s="175"/>
      <c r="BB27" s="312"/>
      <c r="BC27" s="313"/>
      <c r="BD27" s="175"/>
      <c r="BE27" s="312"/>
      <c r="BF27" s="313"/>
      <c r="BG27" s="175"/>
      <c r="BH27" s="312"/>
      <c r="BI27" s="313"/>
      <c r="BJ27" s="175"/>
      <c r="BK27" s="312"/>
      <c r="BL27" s="313"/>
      <c r="BM27" s="175"/>
      <c r="BN27" s="312"/>
      <c r="BO27" s="313"/>
      <c r="BP27" s="175"/>
      <c r="BQ27" s="312"/>
      <c r="BR27" s="313"/>
      <c r="BS27" s="175"/>
      <c r="BT27" s="312"/>
      <c r="BU27" s="313"/>
      <c r="BV27" s="175"/>
      <c r="BW27" s="312"/>
      <c r="BX27" s="313"/>
      <c r="BY27" s="175"/>
      <c r="BZ27" s="312"/>
      <c r="CA27" s="313"/>
      <c r="CB27" s="175"/>
      <c r="CC27" s="312"/>
      <c r="CD27" s="313"/>
      <c r="CE27" s="175"/>
      <c r="CF27" s="312"/>
      <c r="CG27" s="313"/>
      <c r="CH27" s="175"/>
      <c r="CI27" s="312"/>
      <c r="CJ27" s="313"/>
      <c r="CK27" s="175"/>
      <c r="CL27" s="312"/>
      <c r="CM27" s="313"/>
      <c r="CN27" s="175"/>
      <c r="CO27" s="312"/>
      <c r="CP27" s="313"/>
      <c r="CQ27" s="175"/>
    </row>
    <row r="28" spans="1:95" s="13" customFormat="1" ht="15" customHeight="1" x14ac:dyDescent="0.25">
      <c r="A28" s="62" t="s">
        <v>67</v>
      </c>
      <c r="B28" s="62" t="s">
        <v>67</v>
      </c>
      <c r="C28" s="58"/>
      <c r="D28" s="68" t="str">
        <f>IF(E28="","2.8.5 Characteristic 5", CONCATENATE("2.8.5 ", E28))</f>
        <v>2.8.5 Characteristic 5</v>
      </c>
      <c r="E28" s="80"/>
      <c r="F28" s="310"/>
      <c r="G28" s="311"/>
      <c r="H28" s="176"/>
      <c r="I28" s="310"/>
      <c r="J28" s="311"/>
      <c r="K28" s="176"/>
      <c r="L28" s="310"/>
      <c r="M28" s="311"/>
      <c r="N28" s="176"/>
      <c r="O28" s="310"/>
      <c r="P28" s="311"/>
      <c r="Q28" s="176"/>
      <c r="R28" s="310"/>
      <c r="S28" s="311"/>
      <c r="T28" s="176"/>
      <c r="U28" s="310"/>
      <c r="V28" s="311"/>
      <c r="W28" s="176"/>
      <c r="X28" s="310"/>
      <c r="Y28" s="311"/>
      <c r="Z28" s="176"/>
      <c r="AA28" s="310"/>
      <c r="AB28" s="311"/>
      <c r="AC28" s="176"/>
      <c r="AD28" s="310"/>
      <c r="AE28" s="311"/>
      <c r="AF28" s="176"/>
      <c r="AG28" s="310"/>
      <c r="AH28" s="311"/>
      <c r="AI28" s="176"/>
      <c r="AJ28" s="310"/>
      <c r="AK28" s="311"/>
      <c r="AL28" s="176"/>
      <c r="AM28" s="310"/>
      <c r="AN28" s="311"/>
      <c r="AO28" s="176"/>
      <c r="AP28" s="310"/>
      <c r="AQ28" s="311"/>
      <c r="AR28" s="176"/>
      <c r="AS28" s="310"/>
      <c r="AT28" s="311"/>
      <c r="AU28" s="176"/>
      <c r="AV28" s="310"/>
      <c r="AW28" s="311"/>
      <c r="AX28" s="176"/>
      <c r="AY28" s="310"/>
      <c r="AZ28" s="311"/>
      <c r="BA28" s="176"/>
      <c r="BB28" s="310"/>
      <c r="BC28" s="311"/>
      <c r="BD28" s="176"/>
      <c r="BE28" s="310"/>
      <c r="BF28" s="311"/>
      <c r="BG28" s="176"/>
      <c r="BH28" s="310"/>
      <c r="BI28" s="311"/>
      <c r="BJ28" s="176"/>
      <c r="BK28" s="310"/>
      <c r="BL28" s="311"/>
      <c r="BM28" s="176"/>
      <c r="BN28" s="310"/>
      <c r="BO28" s="311"/>
      <c r="BP28" s="176"/>
      <c r="BQ28" s="310"/>
      <c r="BR28" s="311"/>
      <c r="BS28" s="176"/>
      <c r="BT28" s="310"/>
      <c r="BU28" s="311"/>
      <c r="BV28" s="176"/>
      <c r="BW28" s="310"/>
      <c r="BX28" s="311"/>
      <c r="BY28" s="176"/>
      <c r="BZ28" s="310"/>
      <c r="CA28" s="311"/>
      <c r="CB28" s="176"/>
      <c r="CC28" s="310"/>
      <c r="CD28" s="311"/>
      <c r="CE28" s="176"/>
      <c r="CF28" s="310"/>
      <c r="CG28" s="311"/>
      <c r="CH28" s="176"/>
      <c r="CI28" s="310"/>
      <c r="CJ28" s="311"/>
      <c r="CK28" s="176"/>
      <c r="CL28" s="310"/>
      <c r="CM28" s="311"/>
      <c r="CN28" s="176"/>
      <c r="CO28" s="310"/>
      <c r="CP28" s="311"/>
      <c r="CQ28" s="176"/>
    </row>
    <row r="29" spans="1:95" s="1" customFormat="1" ht="18.75" customHeight="1" x14ac:dyDescent="0.25">
      <c r="A29" s="287" t="s">
        <v>151</v>
      </c>
      <c r="B29" s="287"/>
      <c r="C29" s="287"/>
      <c r="D29" s="287"/>
      <c r="E29" s="287"/>
      <c r="F29" s="48">
        <f>IF(SUMMARY!$B$7=TRUE,IF(COUNTBLANK(F30:F36)&gt;0,0,1),"")</f>
        <v>1</v>
      </c>
      <c r="G29" s="50"/>
      <c r="H29" s="50"/>
      <c r="I29" s="50">
        <f>IF(SUMMARY!$B$8=TRUE,IF(COUNTBLANK(I30:I36)&gt;0,0,1),"")</f>
        <v>1</v>
      </c>
      <c r="J29" s="50"/>
      <c r="K29" s="50"/>
      <c r="L29" s="50">
        <f>IF(SUMMARY!$B$9=TRUE,IF(COUNTBLANK(L30:L36)&gt;0,0,1),"")</f>
        <v>1</v>
      </c>
      <c r="M29" s="50"/>
      <c r="N29" s="50"/>
      <c r="O29" s="50">
        <f>IF(SUMMARY!$B$10=TRUE,IF(COUNTBLANK(O30:O36)&gt;0,0,1),"")</f>
        <v>1</v>
      </c>
      <c r="P29" s="50"/>
      <c r="Q29" s="50"/>
      <c r="R29" s="50">
        <f>IF(SUMMARY!$B$11=TRUE,IF(COUNTBLANK(R30:R36)&gt;0,0,1),"")</f>
        <v>1</v>
      </c>
      <c r="S29" s="50"/>
      <c r="T29" s="50"/>
      <c r="U29" s="50">
        <f>IF(SUMMARY!$B$12=TRUE,IF(COUNTBLANK(U30:U36)&gt;0,0,1),"")</f>
        <v>1</v>
      </c>
      <c r="V29" s="50"/>
      <c r="W29" s="50"/>
      <c r="X29" s="50">
        <f>IF(SUMMARY!$B$13=TRUE,IF(COUNTBLANK(X30:X36)&gt;0,0,1),"")</f>
        <v>1</v>
      </c>
      <c r="Y29" s="50"/>
      <c r="Z29" s="50"/>
      <c r="AA29" s="50">
        <f>IF(SUMMARY!$B$14=TRUE,IF(COUNTBLANK(AA30:AA36)&gt;0,0,1),"")</f>
        <v>1</v>
      </c>
      <c r="AB29" s="50"/>
      <c r="AC29" s="50"/>
      <c r="AD29" s="50">
        <f>IF(SUMMARY!$B$15=TRUE,IF(COUNTBLANK(AD30:AD36)&gt;0,0,1),"")</f>
        <v>1</v>
      </c>
      <c r="AE29" s="50"/>
      <c r="AF29" s="50"/>
      <c r="AG29" s="50">
        <f>IF(SUMMARY!$B$16=TRUE,IF(COUNTBLANK(AG30:AG36)&gt;0,0,1),"")</f>
        <v>1</v>
      </c>
      <c r="AH29" s="50"/>
      <c r="AI29" s="50"/>
      <c r="AJ29" s="50">
        <f>IF(SUMMARY!$B$17=TRUE,IF(COUNTBLANK(AJ30:AJ36)&gt;0,0,1),"")</f>
        <v>1</v>
      </c>
      <c r="AK29" s="50"/>
      <c r="AL29" s="50"/>
      <c r="AM29" s="50" t="str">
        <f>IF(SUMMARY!$B$18=TRUE,IF(COUNTBLANK(AM30:AM36)&gt;0,0,1),"")</f>
        <v/>
      </c>
      <c r="AN29" s="50"/>
      <c r="AO29" s="50"/>
      <c r="AP29" s="50" t="str">
        <f>IF(SUMMARY!$B$19=TRUE,IF(COUNTBLANK(AP30:AP36)&gt;0,0,1),"")</f>
        <v/>
      </c>
      <c r="AQ29" s="50"/>
      <c r="AR29" s="50"/>
      <c r="AS29" s="50" t="str">
        <f>IF(SUMMARY!$B$20=TRUE,IF(COUNTBLANK(AS30:AS36)&gt;0,0,1),"")</f>
        <v/>
      </c>
      <c r="AT29" s="50"/>
      <c r="AU29" s="50"/>
      <c r="AV29" s="50" t="str">
        <f>IF(SUMMARY!$B$21=TRUE,IF(COUNTBLANK(AV30:AV36)&gt;0,0,1),"")</f>
        <v/>
      </c>
      <c r="AW29" s="50"/>
      <c r="AX29" s="50"/>
      <c r="AY29" s="50" t="str">
        <f>IF(SUMMARY!$B$22=TRUE,IF(COUNTBLANK(AY30:AY36)&gt;0,0,1),"")</f>
        <v/>
      </c>
      <c r="AZ29" s="50"/>
      <c r="BA29" s="50"/>
      <c r="BB29" s="50" t="str">
        <f>IF(SUMMARY!$B$23=TRUE,IF(COUNTBLANK(BB30:BB36)&gt;0,0,1),"")</f>
        <v/>
      </c>
      <c r="BC29" s="50"/>
      <c r="BD29" s="50"/>
      <c r="BE29" s="50" t="str">
        <f>IF(SUMMARY!$B$24=TRUE,IF(COUNTBLANK(BE30:BE36)&gt;0,0,1),"")</f>
        <v/>
      </c>
      <c r="BF29" s="50"/>
      <c r="BG29" s="50"/>
      <c r="BH29" s="50" t="str">
        <f>IF(SUMMARY!$B$25=TRUE,IF(COUNTBLANK(BH30:BH36)&gt;0,0,1),"")</f>
        <v/>
      </c>
      <c r="BI29" s="50"/>
      <c r="BJ29" s="50"/>
      <c r="BK29" s="50" t="str">
        <f>IF(SUMMARY!$B$26=TRUE,IF(COUNTBLANK(BK30:BK36)&gt;0,0,1),"")</f>
        <v/>
      </c>
      <c r="BL29" s="50"/>
      <c r="BM29" s="50"/>
      <c r="BN29" s="50" t="str">
        <f>IF(SUMMARY!$B$27=TRUE,IF(COUNTBLANK(BN30:BN36)&gt;0,0,1),"")</f>
        <v/>
      </c>
      <c r="BO29" s="50"/>
      <c r="BP29" s="50"/>
      <c r="BQ29" s="50" t="str">
        <f>IF(SUMMARY!$B$28=TRUE,IF(COUNTBLANK(BQ30:BQ36)&gt;0,0,1),"")</f>
        <v/>
      </c>
      <c r="BR29" s="50"/>
      <c r="BS29" s="50"/>
      <c r="BT29" s="50" t="str">
        <f>IF(SUMMARY!$B$29=TRUE,IF(COUNTBLANK(BT30:BT36)&gt;0,0,1),"")</f>
        <v/>
      </c>
      <c r="BU29" s="50"/>
      <c r="BV29" s="50"/>
      <c r="BW29" s="50" t="str">
        <f>IF(SUMMARY!$B$30=TRUE,IF(COUNTBLANK(BW30:BW36)&gt;0,0,1),"")</f>
        <v/>
      </c>
      <c r="BX29" s="50"/>
      <c r="BY29" s="50"/>
      <c r="BZ29" s="50" t="str">
        <f>IF(SUMMARY!$B$31=TRUE,IF(COUNTBLANK(BZ30:BZ36)&gt;0,0,1),"")</f>
        <v/>
      </c>
      <c r="CA29" s="50"/>
      <c r="CB29" s="50"/>
      <c r="CC29" s="50" t="str">
        <f>IF(SUMMARY!$B$32=TRUE,IF(COUNTBLANK(CC30:CC36)&gt;0,0,1),"")</f>
        <v/>
      </c>
      <c r="CD29" s="50"/>
      <c r="CE29" s="50"/>
      <c r="CF29" s="50" t="str">
        <f>IF(SUMMARY!$B$33=TRUE,IF(COUNTBLANK(CF30:CF36)&gt;0,0,1),"")</f>
        <v/>
      </c>
      <c r="CG29" s="50"/>
      <c r="CH29" s="50"/>
      <c r="CI29" s="50" t="str">
        <f>IF(SUMMARY!$B$34=TRUE,IF(COUNTBLANK(CI30:CI36)&gt;0,0,1),"")</f>
        <v/>
      </c>
      <c r="CJ29" s="50"/>
      <c r="CK29" s="50"/>
      <c r="CL29" s="50" t="str">
        <f>IF(SUMMARY!$B$35=TRUE,IF(COUNTBLANK(CL30:CL36)&gt;0,0,1),"")</f>
        <v/>
      </c>
      <c r="CM29" s="50"/>
      <c r="CN29" s="50"/>
      <c r="CO29" s="51" t="str">
        <f>IF(SUMMARY!$B$36=TRUE,IF(COUNTBLANK(CO30:CO36)&gt;0,0,1),"")</f>
        <v/>
      </c>
      <c r="CP29" s="50"/>
      <c r="CQ29" s="50"/>
    </row>
    <row r="30" spans="1:95" s="13" customFormat="1" ht="15" customHeight="1" x14ac:dyDescent="0.25">
      <c r="A30" s="69"/>
      <c r="B30" s="69" t="s">
        <v>67</v>
      </c>
      <c r="C30" s="69" t="s">
        <v>67</v>
      </c>
      <c r="D30" s="292" t="s">
        <v>152</v>
      </c>
      <c r="E30" s="293"/>
      <c r="F30" s="328" t="s">
        <v>153</v>
      </c>
      <c r="G30" s="329"/>
      <c r="H30" s="329"/>
      <c r="I30" s="328" t="s">
        <v>154</v>
      </c>
      <c r="J30" s="329"/>
      <c r="K30" s="329"/>
      <c r="L30" s="328" t="s">
        <v>155</v>
      </c>
      <c r="M30" s="329"/>
      <c r="N30" s="329"/>
      <c r="O30" s="328" t="s">
        <v>153</v>
      </c>
      <c r="P30" s="329"/>
      <c r="Q30" s="329"/>
      <c r="R30" s="328" t="s">
        <v>155</v>
      </c>
      <c r="S30" s="329"/>
      <c r="T30" s="329"/>
      <c r="U30" s="328" t="s">
        <v>155</v>
      </c>
      <c r="V30" s="329"/>
      <c r="W30" s="329"/>
      <c r="X30" s="328" t="s">
        <v>156</v>
      </c>
      <c r="Y30" s="329"/>
      <c r="Z30" s="329"/>
      <c r="AA30" s="328" t="s">
        <v>155</v>
      </c>
      <c r="AB30" s="329"/>
      <c r="AC30" s="329"/>
      <c r="AD30" s="328" t="s">
        <v>155</v>
      </c>
      <c r="AE30" s="329"/>
      <c r="AF30" s="329"/>
      <c r="AG30" s="328" t="s">
        <v>156</v>
      </c>
      <c r="AH30" s="329"/>
      <c r="AI30" s="329"/>
      <c r="AJ30" s="328" t="s">
        <v>156</v>
      </c>
      <c r="AK30" s="329"/>
      <c r="AL30" s="329"/>
      <c r="AM30" s="328"/>
      <c r="AN30" s="329"/>
      <c r="AO30" s="329"/>
      <c r="AP30" s="328"/>
      <c r="AQ30" s="329"/>
      <c r="AR30" s="329"/>
      <c r="AS30" s="328"/>
      <c r="AT30" s="329"/>
      <c r="AU30" s="329"/>
      <c r="AV30" s="328"/>
      <c r="AW30" s="329"/>
      <c r="AX30" s="329"/>
      <c r="AY30" s="328"/>
      <c r="AZ30" s="329"/>
      <c r="BA30" s="329"/>
      <c r="BB30" s="328"/>
      <c r="BC30" s="329"/>
      <c r="BD30" s="329"/>
      <c r="BE30" s="328"/>
      <c r="BF30" s="329"/>
      <c r="BG30" s="329"/>
      <c r="BH30" s="328"/>
      <c r="BI30" s="329"/>
      <c r="BJ30" s="329"/>
      <c r="BK30" s="328"/>
      <c r="BL30" s="329"/>
      <c r="BM30" s="329"/>
      <c r="BN30" s="328"/>
      <c r="BO30" s="329"/>
      <c r="BP30" s="329"/>
      <c r="BQ30" s="328"/>
      <c r="BR30" s="329"/>
      <c r="BS30" s="329"/>
      <c r="BT30" s="328"/>
      <c r="BU30" s="329"/>
      <c r="BV30" s="329"/>
      <c r="BW30" s="328"/>
      <c r="BX30" s="329"/>
      <c r="BY30" s="329"/>
      <c r="BZ30" s="328"/>
      <c r="CA30" s="329"/>
      <c r="CB30" s="329"/>
      <c r="CC30" s="328"/>
      <c r="CD30" s="329"/>
      <c r="CE30" s="329"/>
      <c r="CF30" s="328"/>
      <c r="CG30" s="329"/>
      <c r="CH30" s="329"/>
      <c r="CI30" s="328"/>
      <c r="CJ30" s="329"/>
      <c r="CK30" s="351"/>
      <c r="CL30" s="328"/>
      <c r="CM30" s="329"/>
      <c r="CN30" s="329"/>
      <c r="CO30" s="328"/>
      <c r="CP30" s="329"/>
      <c r="CQ30" s="329"/>
    </row>
    <row r="31" spans="1:95" s="13" customFormat="1" ht="30" customHeight="1" x14ac:dyDescent="0.25">
      <c r="A31" s="69"/>
      <c r="B31" s="69" t="s">
        <v>67</v>
      </c>
      <c r="C31" s="69" t="s">
        <v>67</v>
      </c>
      <c r="D31" s="290" t="s">
        <v>157</v>
      </c>
      <c r="E31" s="291"/>
      <c r="F31" s="330" t="s">
        <v>158</v>
      </c>
      <c r="G31" s="331"/>
      <c r="H31" s="331"/>
      <c r="I31" s="330" t="s">
        <v>159</v>
      </c>
      <c r="J31" s="331"/>
      <c r="K31" s="331"/>
      <c r="L31" s="330" t="s">
        <v>160</v>
      </c>
      <c r="M31" s="331"/>
      <c r="N31" s="331"/>
      <c r="O31" s="330" t="s">
        <v>161</v>
      </c>
      <c r="P31" s="331"/>
      <c r="Q31" s="331"/>
      <c r="R31" s="330" t="s">
        <v>162</v>
      </c>
      <c r="S31" s="331"/>
      <c r="T31" s="331"/>
      <c r="U31" s="330" t="s">
        <v>162</v>
      </c>
      <c r="V31" s="331"/>
      <c r="W31" s="331"/>
      <c r="X31" s="330" t="s">
        <v>163</v>
      </c>
      <c r="Y31" s="331"/>
      <c r="Z31" s="331"/>
      <c r="AA31" s="330" t="s">
        <v>164</v>
      </c>
      <c r="AB31" s="331"/>
      <c r="AC31" s="331"/>
      <c r="AD31" s="330" t="s">
        <v>165</v>
      </c>
      <c r="AE31" s="331"/>
      <c r="AF31" s="331"/>
      <c r="AG31" s="330" t="s">
        <v>166</v>
      </c>
      <c r="AH31" s="331"/>
      <c r="AI31" s="331"/>
      <c r="AJ31" s="330" t="s">
        <v>166</v>
      </c>
      <c r="AK31" s="331"/>
      <c r="AL31" s="331"/>
      <c r="AM31" s="330"/>
      <c r="AN31" s="331"/>
      <c r="AO31" s="331"/>
      <c r="AP31" s="330"/>
      <c r="AQ31" s="331"/>
      <c r="AR31" s="331"/>
      <c r="AS31" s="330"/>
      <c r="AT31" s="331"/>
      <c r="AU31" s="331"/>
      <c r="AV31" s="330"/>
      <c r="AW31" s="331"/>
      <c r="AX31" s="331"/>
      <c r="AY31" s="330"/>
      <c r="AZ31" s="331"/>
      <c r="BA31" s="331"/>
      <c r="BB31" s="330"/>
      <c r="BC31" s="331"/>
      <c r="BD31" s="331"/>
      <c r="BE31" s="330"/>
      <c r="BF31" s="331"/>
      <c r="BG31" s="331"/>
      <c r="BH31" s="330"/>
      <c r="BI31" s="331"/>
      <c r="BJ31" s="331"/>
      <c r="BK31" s="330"/>
      <c r="BL31" s="331"/>
      <c r="BM31" s="331"/>
      <c r="BN31" s="330"/>
      <c r="BO31" s="331"/>
      <c r="BP31" s="331"/>
      <c r="BQ31" s="330"/>
      <c r="BR31" s="331"/>
      <c r="BS31" s="331"/>
      <c r="BT31" s="330"/>
      <c r="BU31" s="331"/>
      <c r="BV31" s="331"/>
      <c r="BW31" s="330"/>
      <c r="BX31" s="331"/>
      <c r="BY31" s="331"/>
      <c r="BZ31" s="330"/>
      <c r="CA31" s="331"/>
      <c r="CB31" s="331"/>
      <c r="CC31" s="330"/>
      <c r="CD31" s="331"/>
      <c r="CE31" s="331"/>
      <c r="CF31" s="330"/>
      <c r="CG31" s="331"/>
      <c r="CH31" s="331"/>
      <c r="CI31" s="330"/>
      <c r="CJ31" s="331"/>
      <c r="CK31" s="331"/>
      <c r="CL31" s="330"/>
      <c r="CM31" s="331"/>
      <c r="CN31" s="331"/>
      <c r="CO31" s="330"/>
      <c r="CP31" s="331"/>
      <c r="CQ31" s="331"/>
    </row>
    <row r="32" spans="1:95" s="13" customFormat="1" ht="15" customHeight="1" x14ac:dyDescent="0.25">
      <c r="A32" s="62"/>
      <c r="B32" s="62"/>
      <c r="C32" s="62" t="s">
        <v>67</v>
      </c>
      <c r="D32" s="290" t="s">
        <v>167</v>
      </c>
      <c r="E32" s="291"/>
      <c r="F32" s="330" t="s">
        <v>168</v>
      </c>
      <c r="G32" s="331"/>
      <c r="H32" s="331"/>
      <c r="I32" s="330" t="s">
        <v>168</v>
      </c>
      <c r="J32" s="331"/>
      <c r="K32" s="331"/>
      <c r="L32" s="330" t="s">
        <v>168</v>
      </c>
      <c r="M32" s="331"/>
      <c r="N32" s="331"/>
      <c r="O32" s="330" t="s">
        <v>168</v>
      </c>
      <c r="P32" s="331"/>
      <c r="Q32" s="331"/>
      <c r="R32" s="330" t="s">
        <v>168</v>
      </c>
      <c r="S32" s="331"/>
      <c r="T32" s="331"/>
      <c r="U32" s="330" t="s">
        <v>168</v>
      </c>
      <c r="V32" s="331"/>
      <c r="W32" s="331"/>
      <c r="X32" s="330" t="s">
        <v>168</v>
      </c>
      <c r="Y32" s="331"/>
      <c r="Z32" s="331"/>
      <c r="AA32" s="330" t="s">
        <v>168</v>
      </c>
      <c r="AB32" s="331"/>
      <c r="AC32" s="331"/>
      <c r="AD32" s="330" t="s">
        <v>168</v>
      </c>
      <c r="AE32" s="331"/>
      <c r="AF32" s="331"/>
      <c r="AG32" s="330" t="s">
        <v>168</v>
      </c>
      <c r="AH32" s="331"/>
      <c r="AI32" s="331"/>
      <c r="AJ32" s="330" t="s">
        <v>168</v>
      </c>
      <c r="AK32" s="331"/>
      <c r="AL32" s="331"/>
      <c r="AM32" s="330"/>
      <c r="AN32" s="331"/>
      <c r="AO32" s="331"/>
      <c r="AP32" s="330"/>
      <c r="AQ32" s="331"/>
      <c r="AR32" s="331"/>
      <c r="AS32" s="330"/>
      <c r="AT32" s="331"/>
      <c r="AU32" s="331"/>
      <c r="AV32" s="330"/>
      <c r="AW32" s="331"/>
      <c r="AX32" s="331"/>
      <c r="AY32" s="330"/>
      <c r="AZ32" s="331"/>
      <c r="BA32" s="331"/>
      <c r="BB32" s="330"/>
      <c r="BC32" s="331"/>
      <c r="BD32" s="331"/>
      <c r="BE32" s="330"/>
      <c r="BF32" s="331"/>
      <c r="BG32" s="331"/>
      <c r="BH32" s="330"/>
      <c r="BI32" s="331"/>
      <c r="BJ32" s="331"/>
      <c r="BK32" s="330"/>
      <c r="BL32" s="331"/>
      <c r="BM32" s="331"/>
      <c r="BN32" s="330"/>
      <c r="BO32" s="331"/>
      <c r="BP32" s="331"/>
      <c r="BQ32" s="330"/>
      <c r="BR32" s="331"/>
      <c r="BS32" s="331"/>
      <c r="BT32" s="330"/>
      <c r="BU32" s="331"/>
      <c r="BV32" s="331"/>
      <c r="BW32" s="330"/>
      <c r="BX32" s="331"/>
      <c r="BY32" s="331"/>
      <c r="BZ32" s="330"/>
      <c r="CA32" s="331"/>
      <c r="CB32" s="331"/>
      <c r="CC32" s="330"/>
      <c r="CD32" s="331"/>
      <c r="CE32" s="331"/>
      <c r="CF32" s="330"/>
      <c r="CG32" s="331"/>
      <c r="CH32" s="331"/>
      <c r="CI32" s="330"/>
      <c r="CJ32" s="331"/>
      <c r="CK32" s="331"/>
      <c r="CL32" s="330"/>
      <c r="CM32" s="331"/>
      <c r="CN32" s="331"/>
      <c r="CO32" s="330"/>
      <c r="CP32" s="331"/>
      <c r="CQ32" s="331"/>
    </row>
    <row r="33" spans="1:95" s="13" customFormat="1" ht="15" customHeight="1" x14ac:dyDescent="0.25">
      <c r="A33" s="63" t="s">
        <v>67</v>
      </c>
      <c r="B33" s="63" t="s">
        <v>67</v>
      </c>
      <c r="C33" s="63"/>
      <c r="D33" s="290" t="s">
        <v>169</v>
      </c>
      <c r="E33" s="291"/>
      <c r="F33" s="330" t="s">
        <v>170</v>
      </c>
      <c r="G33" s="331"/>
      <c r="H33" s="331"/>
      <c r="I33" s="330" t="s">
        <v>170</v>
      </c>
      <c r="J33" s="331"/>
      <c r="K33" s="331"/>
      <c r="L33" s="330" t="s">
        <v>170</v>
      </c>
      <c r="M33" s="331"/>
      <c r="N33" s="331"/>
      <c r="O33" s="330" t="s">
        <v>170</v>
      </c>
      <c r="P33" s="331"/>
      <c r="Q33" s="331"/>
      <c r="R33" s="330" t="s">
        <v>170</v>
      </c>
      <c r="S33" s="331"/>
      <c r="T33" s="331"/>
      <c r="U33" s="330" t="s">
        <v>170</v>
      </c>
      <c r="V33" s="331"/>
      <c r="W33" s="331"/>
      <c r="X33" s="330" t="s">
        <v>170</v>
      </c>
      <c r="Y33" s="331"/>
      <c r="Z33" s="331"/>
      <c r="AA33" s="330" t="s">
        <v>170</v>
      </c>
      <c r="AB33" s="331"/>
      <c r="AC33" s="331"/>
      <c r="AD33" s="330" t="s">
        <v>170</v>
      </c>
      <c r="AE33" s="331"/>
      <c r="AF33" s="331"/>
      <c r="AG33" s="330" t="s">
        <v>170</v>
      </c>
      <c r="AH33" s="331"/>
      <c r="AI33" s="331"/>
      <c r="AJ33" s="330" t="s">
        <v>170</v>
      </c>
      <c r="AK33" s="331"/>
      <c r="AL33" s="331"/>
      <c r="AM33" s="330"/>
      <c r="AN33" s="331"/>
      <c r="AO33" s="331"/>
      <c r="AP33" s="330"/>
      <c r="AQ33" s="331"/>
      <c r="AR33" s="331"/>
      <c r="AS33" s="330"/>
      <c r="AT33" s="331"/>
      <c r="AU33" s="331"/>
      <c r="AV33" s="330"/>
      <c r="AW33" s="331"/>
      <c r="AX33" s="331"/>
      <c r="AY33" s="330"/>
      <c r="AZ33" s="331"/>
      <c r="BA33" s="331"/>
      <c r="BB33" s="330"/>
      <c r="BC33" s="331"/>
      <c r="BD33" s="331"/>
      <c r="BE33" s="330"/>
      <c r="BF33" s="331"/>
      <c r="BG33" s="331"/>
      <c r="BH33" s="330"/>
      <c r="BI33" s="331"/>
      <c r="BJ33" s="331"/>
      <c r="BK33" s="330"/>
      <c r="BL33" s="331"/>
      <c r="BM33" s="331"/>
      <c r="BN33" s="330"/>
      <c r="BO33" s="331"/>
      <c r="BP33" s="331"/>
      <c r="BQ33" s="330"/>
      <c r="BR33" s="331"/>
      <c r="BS33" s="331"/>
      <c r="BT33" s="330"/>
      <c r="BU33" s="331"/>
      <c r="BV33" s="331"/>
      <c r="BW33" s="330"/>
      <c r="BX33" s="331"/>
      <c r="BY33" s="331"/>
      <c r="BZ33" s="330"/>
      <c r="CA33" s="331"/>
      <c r="CB33" s="331"/>
      <c r="CC33" s="330"/>
      <c r="CD33" s="331"/>
      <c r="CE33" s="331"/>
      <c r="CF33" s="330"/>
      <c r="CG33" s="331"/>
      <c r="CH33" s="331"/>
      <c r="CI33" s="330"/>
      <c r="CJ33" s="331"/>
      <c r="CK33" s="331"/>
      <c r="CL33" s="330"/>
      <c r="CM33" s="331"/>
      <c r="CN33" s="331"/>
      <c r="CO33" s="330"/>
      <c r="CP33" s="331"/>
      <c r="CQ33" s="331"/>
    </row>
    <row r="34" spans="1:95" s="13" customFormat="1" ht="15" customHeight="1" x14ac:dyDescent="0.25">
      <c r="A34" s="63"/>
      <c r="B34" s="63"/>
      <c r="C34" s="63" t="s">
        <v>67</v>
      </c>
      <c r="D34" s="301" t="s">
        <v>171</v>
      </c>
      <c r="E34" s="302"/>
      <c r="F34" s="330" t="s">
        <v>106</v>
      </c>
      <c r="G34" s="331"/>
      <c r="H34" s="331"/>
      <c r="I34" s="330" t="s">
        <v>106</v>
      </c>
      <c r="J34" s="331"/>
      <c r="K34" s="331"/>
      <c r="L34" s="330" t="s">
        <v>106</v>
      </c>
      <c r="M34" s="331"/>
      <c r="N34" s="331"/>
      <c r="O34" s="330" t="s">
        <v>106</v>
      </c>
      <c r="P34" s="331"/>
      <c r="Q34" s="331"/>
      <c r="R34" s="330" t="s">
        <v>106</v>
      </c>
      <c r="S34" s="331"/>
      <c r="T34" s="331"/>
      <c r="U34" s="330" t="s">
        <v>106</v>
      </c>
      <c r="V34" s="331"/>
      <c r="W34" s="331"/>
      <c r="X34" s="330" t="s">
        <v>106</v>
      </c>
      <c r="Y34" s="331"/>
      <c r="Z34" s="331"/>
      <c r="AA34" s="330" t="s">
        <v>106</v>
      </c>
      <c r="AB34" s="331"/>
      <c r="AC34" s="331"/>
      <c r="AD34" s="330" t="s">
        <v>106</v>
      </c>
      <c r="AE34" s="331"/>
      <c r="AF34" s="331"/>
      <c r="AG34" s="330" t="s">
        <v>106</v>
      </c>
      <c r="AH34" s="331"/>
      <c r="AI34" s="331"/>
      <c r="AJ34" s="330" t="s">
        <v>106</v>
      </c>
      <c r="AK34" s="331"/>
      <c r="AL34" s="331"/>
      <c r="AM34" s="330"/>
      <c r="AN34" s="331"/>
      <c r="AO34" s="331"/>
      <c r="AP34" s="330"/>
      <c r="AQ34" s="331"/>
      <c r="AR34" s="331"/>
      <c r="AS34" s="330"/>
      <c r="AT34" s="331"/>
      <c r="AU34" s="331"/>
      <c r="AV34" s="330"/>
      <c r="AW34" s="331"/>
      <c r="AX34" s="331"/>
      <c r="AY34" s="330"/>
      <c r="AZ34" s="331"/>
      <c r="BA34" s="331"/>
      <c r="BB34" s="330"/>
      <c r="BC34" s="331"/>
      <c r="BD34" s="331"/>
      <c r="BE34" s="330"/>
      <c r="BF34" s="331"/>
      <c r="BG34" s="331"/>
      <c r="BH34" s="330"/>
      <c r="BI34" s="331"/>
      <c r="BJ34" s="331"/>
      <c r="BK34" s="330"/>
      <c r="BL34" s="331"/>
      <c r="BM34" s="331"/>
      <c r="BN34" s="330"/>
      <c r="BO34" s="331"/>
      <c r="BP34" s="331"/>
      <c r="BQ34" s="330"/>
      <c r="BR34" s="331"/>
      <c r="BS34" s="331"/>
      <c r="BT34" s="330"/>
      <c r="BU34" s="331"/>
      <c r="BV34" s="331"/>
      <c r="BW34" s="330"/>
      <c r="BX34" s="331"/>
      <c r="BY34" s="331"/>
      <c r="BZ34" s="330"/>
      <c r="CA34" s="331"/>
      <c r="CB34" s="331"/>
      <c r="CC34" s="330"/>
      <c r="CD34" s="331"/>
      <c r="CE34" s="331"/>
      <c r="CF34" s="330"/>
      <c r="CG34" s="331"/>
      <c r="CH34" s="331"/>
      <c r="CI34" s="330"/>
      <c r="CJ34" s="331"/>
      <c r="CK34" s="331"/>
      <c r="CL34" s="330"/>
      <c r="CM34" s="331"/>
      <c r="CN34" s="331"/>
      <c r="CO34" s="330"/>
      <c r="CP34" s="331"/>
      <c r="CQ34" s="331"/>
    </row>
    <row r="35" spans="1:95" s="13" customFormat="1" ht="15" customHeight="1" x14ac:dyDescent="0.25">
      <c r="A35" s="63"/>
      <c r="B35" s="63"/>
      <c r="C35" s="63" t="s">
        <v>67</v>
      </c>
      <c r="D35" s="301" t="s">
        <v>172</v>
      </c>
      <c r="E35" s="302"/>
      <c r="F35" s="330" t="s">
        <v>173</v>
      </c>
      <c r="G35" s="331"/>
      <c r="H35" s="331"/>
      <c r="I35" s="330" t="s">
        <v>173</v>
      </c>
      <c r="J35" s="331"/>
      <c r="K35" s="331"/>
      <c r="L35" s="330" t="s">
        <v>173</v>
      </c>
      <c r="M35" s="331"/>
      <c r="N35" s="331"/>
      <c r="O35" s="330" t="s">
        <v>84</v>
      </c>
      <c r="P35" s="331"/>
      <c r="Q35" s="331"/>
      <c r="R35" s="330" t="s">
        <v>173</v>
      </c>
      <c r="S35" s="331"/>
      <c r="T35" s="331"/>
      <c r="U35" s="330" t="s">
        <v>173</v>
      </c>
      <c r="V35" s="331"/>
      <c r="W35" s="331"/>
      <c r="X35" s="330" t="s">
        <v>84</v>
      </c>
      <c r="Y35" s="331"/>
      <c r="Z35" s="331"/>
      <c r="AA35" s="330" t="s">
        <v>173</v>
      </c>
      <c r="AB35" s="331"/>
      <c r="AC35" s="331"/>
      <c r="AD35" s="330" t="s">
        <v>173</v>
      </c>
      <c r="AE35" s="331"/>
      <c r="AF35" s="331"/>
      <c r="AG35" s="330" t="s">
        <v>173</v>
      </c>
      <c r="AH35" s="331"/>
      <c r="AI35" s="331"/>
      <c r="AJ35" s="330" t="s">
        <v>173</v>
      </c>
      <c r="AK35" s="331"/>
      <c r="AL35" s="331"/>
      <c r="AM35" s="330"/>
      <c r="AN35" s="331"/>
      <c r="AO35" s="331"/>
      <c r="AP35" s="330"/>
      <c r="AQ35" s="331"/>
      <c r="AR35" s="331"/>
      <c r="AS35" s="330"/>
      <c r="AT35" s="331"/>
      <c r="AU35" s="331"/>
      <c r="AV35" s="330"/>
      <c r="AW35" s="331"/>
      <c r="AX35" s="331"/>
      <c r="AY35" s="330"/>
      <c r="AZ35" s="331"/>
      <c r="BA35" s="331"/>
      <c r="BB35" s="330"/>
      <c r="BC35" s="331"/>
      <c r="BD35" s="331"/>
      <c r="BE35" s="330"/>
      <c r="BF35" s="331"/>
      <c r="BG35" s="331"/>
      <c r="BH35" s="330"/>
      <c r="BI35" s="331"/>
      <c r="BJ35" s="331"/>
      <c r="BK35" s="330"/>
      <c r="BL35" s="331"/>
      <c r="BM35" s="331"/>
      <c r="BN35" s="330"/>
      <c r="BO35" s="331"/>
      <c r="BP35" s="331"/>
      <c r="BQ35" s="330"/>
      <c r="BR35" s="331"/>
      <c r="BS35" s="331"/>
      <c r="BT35" s="330"/>
      <c r="BU35" s="331"/>
      <c r="BV35" s="331"/>
      <c r="BW35" s="330"/>
      <c r="BX35" s="331"/>
      <c r="BY35" s="331"/>
      <c r="BZ35" s="330"/>
      <c r="CA35" s="331"/>
      <c r="CB35" s="331"/>
      <c r="CC35" s="330"/>
      <c r="CD35" s="331"/>
      <c r="CE35" s="331"/>
      <c r="CF35" s="330"/>
      <c r="CG35" s="331"/>
      <c r="CH35" s="331"/>
      <c r="CI35" s="330"/>
      <c r="CJ35" s="331"/>
      <c r="CK35" s="331"/>
      <c r="CL35" s="330"/>
      <c r="CM35" s="331"/>
      <c r="CN35" s="331"/>
      <c r="CO35" s="330"/>
      <c r="CP35" s="331"/>
      <c r="CQ35" s="331"/>
    </row>
    <row r="36" spans="1:95" s="13" customFormat="1" ht="15" customHeight="1" x14ac:dyDescent="0.25">
      <c r="A36" s="58"/>
      <c r="B36" s="58" t="s">
        <v>67</v>
      </c>
      <c r="C36" s="58"/>
      <c r="D36" s="288" t="s">
        <v>174</v>
      </c>
      <c r="E36" s="289"/>
      <c r="F36" s="326" t="s">
        <v>175</v>
      </c>
      <c r="G36" s="327"/>
      <c r="H36" s="327"/>
      <c r="I36" s="326" t="s">
        <v>175</v>
      </c>
      <c r="J36" s="327"/>
      <c r="K36" s="327"/>
      <c r="L36" s="326" t="s">
        <v>176</v>
      </c>
      <c r="M36" s="327"/>
      <c r="N36" s="327"/>
      <c r="O36" s="326" t="s">
        <v>175</v>
      </c>
      <c r="P36" s="327"/>
      <c r="Q36" s="327"/>
      <c r="R36" s="326" t="s">
        <v>176</v>
      </c>
      <c r="S36" s="327"/>
      <c r="T36" s="327"/>
      <c r="U36" s="326" t="s">
        <v>176</v>
      </c>
      <c r="V36" s="327"/>
      <c r="W36" s="327"/>
      <c r="X36" s="326" t="s">
        <v>177</v>
      </c>
      <c r="Y36" s="327"/>
      <c r="Z36" s="327"/>
      <c r="AA36" s="326" t="s">
        <v>176</v>
      </c>
      <c r="AB36" s="327"/>
      <c r="AC36" s="327"/>
      <c r="AD36" s="326" t="s">
        <v>176</v>
      </c>
      <c r="AE36" s="327"/>
      <c r="AF36" s="327"/>
      <c r="AG36" s="326" t="s">
        <v>177</v>
      </c>
      <c r="AH36" s="327"/>
      <c r="AI36" s="327"/>
      <c r="AJ36" s="326" t="s">
        <v>177</v>
      </c>
      <c r="AK36" s="327"/>
      <c r="AL36" s="327"/>
      <c r="AM36" s="326"/>
      <c r="AN36" s="327"/>
      <c r="AO36" s="327"/>
      <c r="AP36" s="326"/>
      <c r="AQ36" s="327"/>
      <c r="AR36" s="327"/>
      <c r="AS36" s="326"/>
      <c r="AT36" s="327"/>
      <c r="AU36" s="327"/>
      <c r="AV36" s="326"/>
      <c r="AW36" s="327"/>
      <c r="AX36" s="327"/>
      <c r="AY36" s="326"/>
      <c r="AZ36" s="327"/>
      <c r="BA36" s="327"/>
      <c r="BB36" s="326"/>
      <c r="BC36" s="327"/>
      <c r="BD36" s="327"/>
      <c r="BE36" s="326"/>
      <c r="BF36" s="327"/>
      <c r="BG36" s="327"/>
      <c r="BH36" s="326"/>
      <c r="BI36" s="327"/>
      <c r="BJ36" s="327"/>
      <c r="BK36" s="326"/>
      <c r="BL36" s="327"/>
      <c r="BM36" s="327"/>
      <c r="BN36" s="326"/>
      <c r="BO36" s="327"/>
      <c r="BP36" s="327"/>
      <c r="BQ36" s="326"/>
      <c r="BR36" s="327"/>
      <c r="BS36" s="327"/>
      <c r="BT36" s="326"/>
      <c r="BU36" s="327"/>
      <c r="BV36" s="327"/>
      <c r="BW36" s="326"/>
      <c r="BX36" s="327"/>
      <c r="BY36" s="327"/>
      <c r="BZ36" s="326"/>
      <c r="CA36" s="327"/>
      <c r="CB36" s="327"/>
      <c r="CC36" s="326"/>
      <c r="CD36" s="327"/>
      <c r="CE36" s="327"/>
      <c r="CF36" s="326"/>
      <c r="CG36" s="327"/>
      <c r="CH36" s="327"/>
      <c r="CI36" s="326"/>
      <c r="CJ36" s="327"/>
      <c r="CK36" s="327"/>
      <c r="CL36" s="326"/>
      <c r="CM36" s="327"/>
      <c r="CN36" s="327"/>
      <c r="CO36" s="326"/>
      <c r="CP36" s="327"/>
      <c r="CQ36" s="327"/>
    </row>
    <row r="37" spans="1:95" s="1" customFormat="1" ht="18.75" customHeight="1" x14ac:dyDescent="0.25">
      <c r="A37" s="287" t="s">
        <v>178</v>
      </c>
      <c r="B37" s="287"/>
      <c r="C37" s="287"/>
      <c r="D37" s="287"/>
      <c r="E37" s="287"/>
      <c r="F37" s="48">
        <f>IF(SUMMARY!$B$7=TRUE,IF(COUNTBLANK(F38:F43)&gt;0,0,1),"")</f>
        <v>1</v>
      </c>
      <c r="G37" s="49"/>
      <c r="H37" s="49"/>
      <c r="I37" s="50">
        <f>IF(SUMMARY!$B$8=TRUE,IF(COUNTBLANK(I38:I43)&gt;0,0,1),"")</f>
        <v>1</v>
      </c>
      <c r="J37" s="49"/>
      <c r="K37" s="49"/>
      <c r="L37" s="50">
        <f>IF(SUMMARY!$B$9=TRUE,IF(COUNTBLANK(L38:L43)&gt;0,0,1),"")</f>
        <v>1</v>
      </c>
      <c r="M37" s="49"/>
      <c r="N37" s="49"/>
      <c r="O37" s="50">
        <f>IF(SUMMARY!$B$10=TRUE,IF(COUNTBLANK(O38:O43)&gt;0,0,1),"")</f>
        <v>1</v>
      </c>
      <c r="P37" s="49"/>
      <c r="Q37" s="49"/>
      <c r="R37" s="50">
        <f>IF(SUMMARY!$B$11=TRUE,IF(COUNTBLANK(R38:R43)&gt;0,0,1),"")</f>
        <v>1</v>
      </c>
      <c r="S37" s="49"/>
      <c r="T37" s="49"/>
      <c r="U37" s="50">
        <f>IF(SUMMARY!$B$12=TRUE,IF(COUNTBLANK(U38:U43)&gt;0,0,1),"")</f>
        <v>1</v>
      </c>
      <c r="V37" s="49"/>
      <c r="W37" s="49"/>
      <c r="X37" s="50">
        <f>IF(SUMMARY!$B$13=TRUE,IF(COUNTBLANK(X38:X43)&gt;0,0,1),"")</f>
        <v>1</v>
      </c>
      <c r="Y37" s="49"/>
      <c r="Z37" s="49"/>
      <c r="AA37" s="50">
        <f>IF(SUMMARY!$B$14=TRUE,IF(COUNTBLANK(AA38:AA43)&gt;0,0,1),"")</f>
        <v>1</v>
      </c>
      <c r="AB37" s="49"/>
      <c r="AC37" s="49"/>
      <c r="AD37" s="50">
        <f>IF(SUMMARY!$B$15=TRUE,IF(COUNTBLANK(AD38:AD43)&gt;0,0,1),"")</f>
        <v>1</v>
      </c>
      <c r="AE37" s="49"/>
      <c r="AF37" s="49"/>
      <c r="AG37" s="50">
        <f>IF(SUMMARY!$B$16=TRUE,IF(COUNTBLANK(AG38:AG43)&gt;0,0,1),"")</f>
        <v>1</v>
      </c>
      <c r="AH37" s="49"/>
      <c r="AI37" s="49"/>
      <c r="AJ37" s="50">
        <f>IF(SUMMARY!$B$17=TRUE,IF(COUNTBLANK(AJ38:AJ43)&gt;0,0,1),"")</f>
        <v>1</v>
      </c>
      <c r="AK37" s="49"/>
      <c r="AL37" s="49"/>
      <c r="AM37" s="50" t="str">
        <f>IF(SUMMARY!$B$18=TRUE,IF(COUNTBLANK(AM38:AM43)&gt;0,0,1),"")</f>
        <v/>
      </c>
      <c r="AN37" s="49"/>
      <c r="AO37" s="49"/>
      <c r="AP37" s="50" t="str">
        <f>IF(SUMMARY!$B$19=TRUE,IF(COUNTBLANK(AP38:AP43)&gt;0,0,1),"")</f>
        <v/>
      </c>
      <c r="AQ37" s="49"/>
      <c r="AR37" s="49"/>
      <c r="AS37" s="50" t="str">
        <f>IF(SUMMARY!$B$20=TRUE,IF(COUNTBLANK(AS38:AS43)&gt;0,0,1),"")</f>
        <v/>
      </c>
      <c r="AT37" s="49"/>
      <c r="AU37" s="49"/>
      <c r="AV37" s="50" t="str">
        <f>IF(SUMMARY!$B$21=TRUE,IF(COUNTBLANK(AV38:AV43)&gt;0,0,1),"")</f>
        <v/>
      </c>
      <c r="AW37" s="49"/>
      <c r="AX37" s="49"/>
      <c r="AY37" s="50" t="str">
        <f>IF(SUMMARY!$B$22=TRUE,IF(COUNTBLANK(AY38:AY43)&gt;0,0,1),"")</f>
        <v/>
      </c>
      <c r="AZ37" s="49"/>
      <c r="BA37" s="49"/>
      <c r="BB37" s="50" t="str">
        <f>IF(SUMMARY!$B$23=TRUE,IF(COUNTBLANK(BB38:BB43)&gt;0,0,1),"")</f>
        <v/>
      </c>
      <c r="BC37" s="49"/>
      <c r="BD37" s="49"/>
      <c r="BE37" s="50" t="str">
        <f>IF(SUMMARY!$B$24=TRUE,IF(COUNTBLANK(BE38:BE43)&gt;0,0,1),"")</f>
        <v/>
      </c>
      <c r="BF37" s="49"/>
      <c r="BG37" s="49"/>
      <c r="BH37" s="50" t="str">
        <f>IF(SUMMARY!$B$25=TRUE,IF(COUNTBLANK(BH38:BH43)&gt;0,0,1),"")</f>
        <v/>
      </c>
      <c r="BI37" s="49"/>
      <c r="BJ37" s="49"/>
      <c r="BK37" s="50" t="str">
        <f>IF(SUMMARY!$B$26=TRUE,IF(COUNTBLANK(BK38:BK43)&gt;0,0,1),"")</f>
        <v/>
      </c>
      <c r="BL37" s="49"/>
      <c r="BM37" s="49"/>
      <c r="BN37" s="50" t="str">
        <f>IF(SUMMARY!$B$27=TRUE,IF(COUNTBLANK(BN38:BN43)&gt;0,0,1),"")</f>
        <v/>
      </c>
      <c r="BO37" s="49"/>
      <c r="BP37" s="49"/>
      <c r="BQ37" s="50" t="str">
        <f>IF(SUMMARY!$B$28=TRUE,IF(COUNTBLANK(BQ38:BQ43)&gt;0,0,1),"")</f>
        <v/>
      </c>
      <c r="BR37" s="49"/>
      <c r="BS37" s="49"/>
      <c r="BT37" s="50" t="str">
        <f>IF(SUMMARY!$B$29=TRUE,IF(COUNTBLANK(BT38:BT43)&gt;0,0,1),"")</f>
        <v/>
      </c>
      <c r="BU37" s="49"/>
      <c r="BV37" s="49"/>
      <c r="BW37" s="50" t="str">
        <f>IF(SUMMARY!$B$30=TRUE,IF(COUNTBLANK(BW38:BW43)&gt;0,0,1),"")</f>
        <v/>
      </c>
      <c r="BX37" s="49"/>
      <c r="BY37" s="49"/>
      <c r="BZ37" s="50" t="str">
        <f>IF(SUMMARY!$B$31=TRUE,IF(COUNTBLANK(BZ38:BZ43)&gt;0,0,1),"")</f>
        <v/>
      </c>
      <c r="CA37" s="49"/>
      <c r="CB37" s="49"/>
      <c r="CC37" s="50" t="str">
        <f>IF(SUMMARY!$B$32=TRUE,IF(COUNTBLANK(CC38:CC43)&gt;0,0,1),"")</f>
        <v/>
      </c>
      <c r="CD37" s="49"/>
      <c r="CE37" s="49"/>
      <c r="CF37" s="50" t="str">
        <f>IF(SUMMARY!$B$33=TRUE,IF(COUNTBLANK(CF38:CF43)&gt;0,0,1),"")</f>
        <v/>
      </c>
      <c r="CG37" s="49"/>
      <c r="CH37" s="49"/>
      <c r="CI37" s="50" t="str">
        <f>IF(SUMMARY!$B$34=TRUE,IF(COUNTBLANK(CI38:CI43)&gt;0,0,1),"")</f>
        <v/>
      </c>
      <c r="CJ37" s="49"/>
      <c r="CK37" s="49"/>
      <c r="CL37" s="50" t="str">
        <f>IF(SUMMARY!$B$35=TRUE,IF(COUNTBLANK(CL38:CL43)&gt;0,0,1),"")</f>
        <v/>
      </c>
      <c r="CM37" s="49"/>
      <c r="CN37" s="49"/>
      <c r="CO37" s="51" t="str">
        <f>IF(SUMMARY!$B$36=TRUE,IF(COUNTBLANK(CO38:CO43)&gt;0,0,1),"")</f>
        <v/>
      </c>
      <c r="CP37" s="49"/>
      <c r="CQ37" s="49"/>
    </row>
    <row r="38" spans="1:95" s="13" customFormat="1" ht="15" customHeight="1" x14ac:dyDescent="0.25">
      <c r="A38" s="69" t="s">
        <v>67</v>
      </c>
      <c r="B38" s="69"/>
      <c r="C38" s="69"/>
      <c r="D38" s="292" t="s">
        <v>179</v>
      </c>
      <c r="E38" s="293"/>
      <c r="F38" s="328">
        <v>38</v>
      </c>
      <c r="G38" s="329"/>
      <c r="H38" s="329"/>
      <c r="I38" s="328">
        <v>19</v>
      </c>
      <c r="J38" s="329"/>
      <c r="K38" s="329"/>
      <c r="L38" s="328">
        <v>0</v>
      </c>
      <c r="M38" s="329"/>
      <c r="N38" s="329"/>
      <c r="O38" s="328">
        <v>15</v>
      </c>
      <c r="P38" s="329"/>
      <c r="Q38" s="329"/>
      <c r="R38" s="328">
        <v>57</v>
      </c>
      <c r="S38" s="329"/>
      <c r="T38" s="329"/>
      <c r="U38" s="328">
        <v>57</v>
      </c>
      <c r="V38" s="329"/>
      <c r="W38" s="329"/>
      <c r="X38" s="328">
        <v>32</v>
      </c>
      <c r="Y38" s="329"/>
      <c r="Z38" s="329"/>
      <c r="AA38" s="328">
        <v>56</v>
      </c>
      <c r="AB38" s="329"/>
      <c r="AC38" s="329"/>
      <c r="AD38" s="328">
        <v>37</v>
      </c>
      <c r="AE38" s="329"/>
      <c r="AF38" s="329"/>
      <c r="AG38" s="328">
        <v>26</v>
      </c>
      <c r="AH38" s="329"/>
      <c r="AI38" s="329"/>
      <c r="AJ38" s="328">
        <v>27</v>
      </c>
      <c r="AK38" s="329"/>
      <c r="AL38" s="329"/>
      <c r="AM38" s="328"/>
      <c r="AN38" s="329"/>
      <c r="AO38" s="329"/>
      <c r="AP38" s="328"/>
      <c r="AQ38" s="329"/>
      <c r="AR38" s="329"/>
      <c r="AS38" s="328"/>
      <c r="AT38" s="329"/>
      <c r="AU38" s="329"/>
      <c r="AV38" s="328"/>
      <c r="AW38" s="329"/>
      <c r="AX38" s="329"/>
      <c r="AY38" s="328"/>
      <c r="AZ38" s="329"/>
      <c r="BA38" s="329"/>
      <c r="BB38" s="328"/>
      <c r="BC38" s="329"/>
      <c r="BD38" s="329"/>
      <c r="BE38" s="328"/>
      <c r="BF38" s="329"/>
      <c r="BG38" s="329"/>
      <c r="BH38" s="328"/>
      <c r="BI38" s="329"/>
      <c r="BJ38" s="329"/>
      <c r="BK38" s="328"/>
      <c r="BL38" s="329"/>
      <c r="BM38" s="329"/>
      <c r="BN38" s="328"/>
      <c r="BO38" s="329"/>
      <c r="BP38" s="329"/>
      <c r="BQ38" s="328"/>
      <c r="BR38" s="329"/>
      <c r="BS38" s="329"/>
      <c r="BT38" s="328"/>
      <c r="BU38" s="329"/>
      <c r="BV38" s="329"/>
      <c r="BW38" s="328"/>
      <c r="BX38" s="329"/>
      <c r="BY38" s="329"/>
      <c r="BZ38" s="328"/>
      <c r="CA38" s="329"/>
      <c r="CB38" s="329"/>
      <c r="CC38" s="328"/>
      <c r="CD38" s="329"/>
      <c r="CE38" s="329"/>
      <c r="CF38" s="328"/>
      <c r="CG38" s="329"/>
      <c r="CH38" s="329"/>
      <c r="CI38" s="328"/>
      <c r="CJ38" s="329"/>
      <c r="CK38" s="329"/>
      <c r="CL38" s="328"/>
      <c r="CM38" s="329"/>
      <c r="CN38" s="329"/>
      <c r="CO38" s="328"/>
      <c r="CP38" s="329"/>
      <c r="CQ38" s="329"/>
    </row>
    <row r="39" spans="1:95" s="13" customFormat="1" ht="15" customHeight="1" x14ac:dyDescent="0.25">
      <c r="A39" s="62" t="s">
        <v>67</v>
      </c>
      <c r="B39" s="62"/>
      <c r="C39" s="62"/>
      <c r="D39" s="290" t="s">
        <v>180</v>
      </c>
      <c r="E39" s="291"/>
      <c r="F39" s="330" t="s">
        <v>181</v>
      </c>
      <c r="G39" s="331"/>
      <c r="H39" s="331"/>
      <c r="I39" s="330" t="s">
        <v>181</v>
      </c>
      <c r="J39" s="331"/>
      <c r="K39" s="331"/>
      <c r="L39" s="330" t="s">
        <v>181</v>
      </c>
      <c r="M39" s="331"/>
      <c r="N39" s="331"/>
      <c r="O39" s="330" t="s">
        <v>182</v>
      </c>
      <c r="P39" s="331"/>
      <c r="Q39" s="331"/>
      <c r="R39" s="330" t="s">
        <v>183</v>
      </c>
      <c r="S39" s="331"/>
      <c r="T39" s="331"/>
      <c r="U39" s="330" t="s">
        <v>183</v>
      </c>
      <c r="V39" s="331"/>
      <c r="W39" s="331"/>
      <c r="X39" s="330" t="s">
        <v>181</v>
      </c>
      <c r="Y39" s="331"/>
      <c r="Z39" s="331"/>
      <c r="AA39" s="330" t="s">
        <v>184</v>
      </c>
      <c r="AB39" s="331"/>
      <c r="AC39" s="331"/>
      <c r="AD39" s="330" t="s">
        <v>181</v>
      </c>
      <c r="AE39" s="331"/>
      <c r="AF39" s="331"/>
      <c r="AG39" s="330" t="s">
        <v>181</v>
      </c>
      <c r="AH39" s="331"/>
      <c r="AI39" s="331"/>
      <c r="AJ39" s="330" t="s">
        <v>181</v>
      </c>
      <c r="AK39" s="331"/>
      <c r="AL39" s="331"/>
      <c r="AM39" s="330"/>
      <c r="AN39" s="331"/>
      <c r="AO39" s="331"/>
      <c r="AP39" s="330"/>
      <c r="AQ39" s="331"/>
      <c r="AR39" s="331"/>
      <c r="AS39" s="330"/>
      <c r="AT39" s="331"/>
      <c r="AU39" s="331"/>
      <c r="AV39" s="330"/>
      <c r="AW39" s="331"/>
      <c r="AX39" s="331"/>
      <c r="AY39" s="330"/>
      <c r="AZ39" s="331"/>
      <c r="BA39" s="331"/>
      <c r="BB39" s="330"/>
      <c r="BC39" s="331"/>
      <c r="BD39" s="331"/>
      <c r="BE39" s="330"/>
      <c r="BF39" s="331"/>
      <c r="BG39" s="331"/>
      <c r="BH39" s="330"/>
      <c r="BI39" s="331"/>
      <c r="BJ39" s="331"/>
      <c r="BK39" s="330"/>
      <c r="BL39" s="331"/>
      <c r="BM39" s="331"/>
      <c r="BN39" s="330"/>
      <c r="BO39" s="331"/>
      <c r="BP39" s="331"/>
      <c r="BQ39" s="330"/>
      <c r="BR39" s="331"/>
      <c r="BS39" s="331"/>
      <c r="BT39" s="330"/>
      <c r="BU39" s="331"/>
      <c r="BV39" s="331"/>
      <c r="BW39" s="330"/>
      <c r="BX39" s="331"/>
      <c r="BY39" s="331"/>
      <c r="BZ39" s="330"/>
      <c r="CA39" s="331"/>
      <c r="CB39" s="331"/>
      <c r="CC39" s="330"/>
      <c r="CD39" s="331"/>
      <c r="CE39" s="331"/>
      <c r="CF39" s="330"/>
      <c r="CG39" s="331"/>
      <c r="CH39" s="331"/>
      <c r="CI39" s="330"/>
      <c r="CJ39" s="331"/>
      <c r="CK39" s="331"/>
      <c r="CL39" s="330"/>
      <c r="CM39" s="331"/>
      <c r="CN39" s="331"/>
      <c r="CO39" s="330"/>
      <c r="CP39" s="331"/>
      <c r="CQ39" s="331"/>
    </row>
    <row r="40" spans="1:95" s="13" customFormat="1" ht="15" customHeight="1" x14ac:dyDescent="0.25">
      <c r="A40" s="62"/>
      <c r="B40" s="62" t="s">
        <v>67</v>
      </c>
      <c r="C40" s="62"/>
      <c r="D40" s="290" t="s">
        <v>185</v>
      </c>
      <c r="E40" s="291"/>
      <c r="F40" s="330" t="s">
        <v>186</v>
      </c>
      <c r="G40" s="331"/>
      <c r="H40" s="331"/>
      <c r="I40" s="330" t="s">
        <v>187</v>
      </c>
      <c r="J40" s="331"/>
      <c r="K40" s="331"/>
      <c r="L40" s="330" t="s">
        <v>186</v>
      </c>
      <c r="M40" s="331"/>
      <c r="N40" s="331"/>
      <c r="O40" s="330" t="s">
        <v>186</v>
      </c>
      <c r="P40" s="331"/>
      <c r="Q40" s="331"/>
      <c r="R40" s="330" t="s">
        <v>186</v>
      </c>
      <c r="S40" s="331"/>
      <c r="T40" s="331"/>
      <c r="U40" s="330" t="s">
        <v>186</v>
      </c>
      <c r="V40" s="331"/>
      <c r="W40" s="331"/>
      <c r="X40" s="330" t="s">
        <v>186</v>
      </c>
      <c r="Y40" s="331"/>
      <c r="Z40" s="331"/>
      <c r="AA40" s="330" t="s">
        <v>186</v>
      </c>
      <c r="AB40" s="331"/>
      <c r="AC40" s="331"/>
      <c r="AD40" s="330" t="s">
        <v>186</v>
      </c>
      <c r="AE40" s="331"/>
      <c r="AF40" s="331"/>
      <c r="AG40" s="330" t="s">
        <v>186</v>
      </c>
      <c r="AH40" s="331"/>
      <c r="AI40" s="331"/>
      <c r="AJ40" s="330" t="s">
        <v>186</v>
      </c>
      <c r="AK40" s="331"/>
      <c r="AL40" s="331"/>
      <c r="AM40" s="330"/>
      <c r="AN40" s="331"/>
      <c r="AO40" s="331"/>
      <c r="AP40" s="330"/>
      <c r="AQ40" s="331"/>
      <c r="AR40" s="331"/>
      <c r="AS40" s="330"/>
      <c r="AT40" s="331"/>
      <c r="AU40" s="331"/>
      <c r="AV40" s="330"/>
      <c r="AW40" s="331"/>
      <c r="AX40" s="331"/>
      <c r="AY40" s="330"/>
      <c r="AZ40" s="331"/>
      <c r="BA40" s="331"/>
      <c r="BB40" s="330"/>
      <c r="BC40" s="331"/>
      <c r="BD40" s="331"/>
      <c r="BE40" s="330"/>
      <c r="BF40" s="331"/>
      <c r="BG40" s="331"/>
      <c r="BH40" s="330"/>
      <c r="BI40" s="331"/>
      <c r="BJ40" s="331"/>
      <c r="BK40" s="330"/>
      <c r="BL40" s="331"/>
      <c r="BM40" s="331"/>
      <c r="BN40" s="330"/>
      <c r="BO40" s="331"/>
      <c r="BP40" s="331"/>
      <c r="BQ40" s="330"/>
      <c r="BR40" s="331"/>
      <c r="BS40" s="331"/>
      <c r="BT40" s="330"/>
      <c r="BU40" s="331"/>
      <c r="BV40" s="331"/>
      <c r="BW40" s="330"/>
      <c r="BX40" s="331"/>
      <c r="BY40" s="331"/>
      <c r="BZ40" s="330"/>
      <c r="CA40" s="331"/>
      <c r="CB40" s="331"/>
      <c r="CC40" s="330"/>
      <c r="CD40" s="331"/>
      <c r="CE40" s="331"/>
      <c r="CF40" s="330"/>
      <c r="CG40" s="331"/>
      <c r="CH40" s="331"/>
      <c r="CI40" s="330"/>
      <c r="CJ40" s="331"/>
      <c r="CK40" s="331"/>
      <c r="CL40" s="330"/>
      <c r="CM40" s="331"/>
      <c r="CN40" s="331"/>
      <c r="CO40" s="330"/>
      <c r="CP40" s="331"/>
      <c r="CQ40" s="331"/>
    </row>
    <row r="41" spans="1:95" s="13" customFormat="1" ht="15" customHeight="1" x14ac:dyDescent="0.25">
      <c r="A41" s="62"/>
      <c r="B41" s="62"/>
      <c r="C41" s="62" t="s">
        <v>67</v>
      </c>
      <c r="D41" s="290" t="s">
        <v>188</v>
      </c>
      <c r="E41" s="291"/>
      <c r="F41" s="330" t="s">
        <v>168</v>
      </c>
      <c r="G41" s="331"/>
      <c r="H41" s="331"/>
      <c r="I41" s="330" t="s">
        <v>168</v>
      </c>
      <c r="J41" s="331"/>
      <c r="K41" s="331"/>
      <c r="L41" s="330" t="s">
        <v>168</v>
      </c>
      <c r="M41" s="331"/>
      <c r="N41" s="331"/>
      <c r="O41" s="330" t="s">
        <v>168</v>
      </c>
      <c r="P41" s="331"/>
      <c r="Q41" s="331"/>
      <c r="R41" s="330" t="s">
        <v>106</v>
      </c>
      <c r="S41" s="331"/>
      <c r="T41" s="331"/>
      <c r="U41" s="330" t="s">
        <v>106</v>
      </c>
      <c r="V41" s="331"/>
      <c r="W41" s="331"/>
      <c r="X41" s="330" t="s">
        <v>168</v>
      </c>
      <c r="Y41" s="331"/>
      <c r="Z41" s="331"/>
      <c r="AA41" s="330" t="s">
        <v>168</v>
      </c>
      <c r="AB41" s="331"/>
      <c r="AC41" s="331"/>
      <c r="AD41" s="330" t="s">
        <v>168</v>
      </c>
      <c r="AE41" s="331"/>
      <c r="AF41" s="331"/>
      <c r="AG41" s="330" t="s">
        <v>173</v>
      </c>
      <c r="AH41" s="331"/>
      <c r="AI41" s="331"/>
      <c r="AJ41" s="330" t="s">
        <v>173</v>
      </c>
      <c r="AK41" s="331"/>
      <c r="AL41" s="331"/>
      <c r="AM41" s="330"/>
      <c r="AN41" s="331"/>
      <c r="AO41" s="331"/>
      <c r="AP41" s="330"/>
      <c r="AQ41" s="331"/>
      <c r="AR41" s="331"/>
      <c r="AS41" s="330"/>
      <c r="AT41" s="331"/>
      <c r="AU41" s="331"/>
      <c r="AV41" s="330"/>
      <c r="AW41" s="331"/>
      <c r="AX41" s="331"/>
      <c r="AY41" s="330"/>
      <c r="AZ41" s="331"/>
      <c r="BA41" s="331"/>
      <c r="BB41" s="330"/>
      <c r="BC41" s="331"/>
      <c r="BD41" s="331"/>
      <c r="BE41" s="330"/>
      <c r="BF41" s="331"/>
      <c r="BG41" s="331"/>
      <c r="BH41" s="330"/>
      <c r="BI41" s="331"/>
      <c r="BJ41" s="331"/>
      <c r="BK41" s="330"/>
      <c r="BL41" s="331"/>
      <c r="BM41" s="331"/>
      <c r="BN41" s="330"/>
      <c r="BO41" s="331"/>
      <c r="BP41" s="331"/>
      <c r="BQ41" s="330"/>
      <c r="BR41" s="331"/>
      <c r="BS41" s="331"/>
      <c r="BT41" s="330"/>
      <c r="BU41" s="331"/>
      <c r="BV41" s="331"/>
      <c r="BW41" s="330"/>
      <c r="BX41" s="331"/>
      <c r="BY41" s="331"/>
      <c r="BZ41" s="330"/>
      <c r="CA41" s="331"/>
      <c r="CB41" s="331"/>
      <c r="CC41" s="330"/>
      <c r="CD41" s="331"/>
      <c r="CE41" s="331"/>
      <c r="CF41" s="330"/>
      <c r="CG41" s="331"/>
      <c r="CH41" s="331"/>
      <c r="CI41" s="330"/>
      <c r="CJ41" s="331"/>
      <c r="CK41" s="331"/>
      <c r="CL41" s="330"/>
      <c r="CM41" s="331"/>
      <c r="CN41" s="331"/>
      <c r="CO41" s="330"/>
      <c r="CP41" s="331"/>
      <c r="CQ41" s="331"/>
    </row>
    <row r="42" spans="1:95" s="13" customFormat="1" ht="15" customHeight="1" x14ac:dyDescent="0.25">
      <c r="A42" s="62"/>
      <c r="B42" s="62"/>
      <c r="C42" s="62" t="s">
        <v>67</v>
      </c>
      <c r="D42" s="290" t="s">
        <v>189</v>
      </c>
      <c r="E42" s="291"/>
      <c r="F42" s="330" t="s">
        <v>84</v>
      </c>
      <c r="G42" s="331"/>
      <c r="H42" s="331"/>
      <c r="I42" s="330" t="s">
        <v>84</v>
      </c>
      <c r="J42" s="331"/>
      <c r="K42" s="331"/>
      <c r="L42" s="330" t="s">
        <v>84</v>
      </c>
      <c r="M42" s="331"/>
      <c r="N42" s="331"/>
      <c r="O42" s="330" t="s">
        <v>84</v>
      </c>
      <c r="P42" s="331"/>
      <c r="Q42" s="331"/>
      <c r="R42" s="330" t="s">
        <v>84</v>
      </c>
      <c r="S42" s="331"/>
      <c r="T42" s="331"/>
      <c r="U42" s="330" t="s">
        <v>84</v>
      </c>
      <c r="V42" s="331"/>
      <c r="W42" s="331"/>
      <c r="X42" s="330" t="s">
        <v>84</v>
      </c>
      <c r="Y42" s="331"/>
      <c r="Z42" s="331"/>
      <c r="AA42" s="330" t="s">
        <v>84</v>
      </c>
      <c r="AB42" s="331"/>
      <c r="AC42" s="331"/>
      <c r="AD42" s="330" t="s">
        <v>84</v>
      </c>
      <c r="AE42" s="331"/>
      <c r="AF42" s="331"/>
      <c r="AG42" s="330" t="s">
        <v>84</v>
      </c>
      <c r="AH42" s="331"/>
      <c r="AI42" s="331"/>
      <c r="AJ42" s="330" t="s">
        <v>84</v>
      </c>
      <c r="AK42" s="331"/>
      <c r="AL42" s="331"/>
      <c r="AM42" s="330"/>
      <c r="AN42" s="331"/>
      <c r="AO42" s="331"/>
      <c r="AP42" s="330"/>
      <c r="AQ42" s="331"/>
      <c r="AR42" s="331"/>
      <c r="AS42" s="330"/>
      <c r="AT42" s="331"/>
      <c r="AU42" s="331"/>
      <c r="AV42" s="330"/>
      <c r="AW42" s="331"/>
      <c r="AX42" s="331"/>
      <c r="AY42" s="330"/>
      <c r="AZ42" s="331"/>
      <c r="BA42" s="331"/>
      <c r="BB42" s="330"/>
      <c r="BC42" s="331"/>
      <c r="BD42" s="331"/>
      <c r="BE42" s="330"/>
      <c r="BF42" s="331"/>
      <c r="BG42" s="331"/>
      <c r="BH42" s="330"/>
      <c r="BI42" s="331"/>
      <c r="BJ42" s="331"/>
      <c r="BK42" s="330"/>
      <c r="BL42" s="331"/>
      <c r="BM42" s="331"/>
      <c r="BN42" s="330"/>
      <c r="BO42" s="331"/>
      <c r="BP42" s="331"/>
      <c r="BQ42" s="330"/>
      <c r="BR42" s="331"/>
      <c r="BS42" s="331"/>
      <c r="BT42" s="330"/>
      <c r="BU42" s="331"/>
      <c r="BV42" s="331"/>
      <c r="BW42" s="330"/>
      <c r="BX42" s="331"/>
      <c r="BY42" s="331"/>
      <c r="BZ42" s="330"/>
      <c r="CA42" s="331"/>
      <c r="CB42" s="331"/>
      <c r="CC42" s="330"/>
      <c r="CD42" s="331"/>
      <c r="CE42" s="331"/>
      <c r="CF42" s="330"/>
      <c r="CG42" s="331"/>
      <c r="CH42" s="331"/>
      <c r="CI42" s="330"/>
      <c r="CJ42" s="331"/>
      <c r="CK42" s="331"/>
      <c r="CL42" s="330"/>
      <c r="CM42" s="331"/>
      <c r="CN42" s="331"/>
      <c r="CO42" s="330"/>
      <c r="CP42" s="331"/>
      <c r="CQ42" s="331"/>
    </row>
    <row r="43" spans="1:95" s="13" customFormat="1" ht="15" customHeight="1" x14ac:dyDescent="0.25">
      <c r="A43" s="58"/>
      <c r="B43" s="58"/>
      <c r="C43" s="58" t="s">
        <v>67</v>
      </c>
      <c r="D43" s="288" t="s">
        <v>190</v>
      </c>
      <c r="E43" s="289"/>
      <c r="F43" s="326" t="s">
        <v>84</v>
      </c>
      <c r="G43" s="327"/>
      <c r="H43" s="327"/>
      <c r="I43" s="326" t="s">
        <v>84</v>
      </c>
      <c r="J43" s="327"/>
      <c r="K43" s="327"/>
      <c r="L43" s="326" t="s">
        <v>191</v>
      </c>
      <c r="M43" s="327"/>
      <c r="N43" s="327"/>
      <c r="O43" s="326" t="s">
        <v>84</v>
      </c>
      <c r="P43" s="327"/>
      <c r="Q43" s="327"/>
      <c r="R43" s="326" t="s">
        <v>84</v>
      </c>
      <c r="S43" s="327"/>
      <c r="T43" s="327"/>
      <c r="U43" s="326" t="s">
        <v>84</v>
      </c>
      <c r="V43" s="327"/>
      <c r="W43" s="327"/>
      <c r="X43" s="326" t="s">
        <v>192</v>
      </c>
      <c r="Y43" s="327"/>
      <c r="Z43" s="327"/>
      <c r="AA43" s="326" t="s">
        <v>84</v>
      </c>
      <c r="AB43" s="327"/>
      <c r="AC43" s="327"/>
      <c r="AD43" s="326" t="s">
        <v>84</v>
      </c>
      <c r="AE43" s="327"/>
      <c r="AF43" s="327"/>
      <c r="AG43" s="326" t="s">
        <v>84</v>
      </c>
      <c r="AH43" s="327"/>
      <c r="AI43" s="327"/>
      <c r="AJ43" s="326" t="s">
        <v>84</v>
      </c>
      <c r="AK43" s="327"/>
      <c r="AL43" s="327"/>
      <c r="AM43" s="326"/>
      <c r="AN43" s="327"/>
      <c r="AO43" s="327"/>
      <c r="AP43" s="326"/>
      <c r="AQ43" s="327"/>
      <c r="AR43" s="327"/>
      <c r="AS43" s="326"/>
      <c r="AT43" s="327"/>
      <c r="AU43" s="327"/>
      <c r="AV43" s="326"/>
      <c r="AW43" s="327"/>
      <c r="AX43" s="327"/>
      <c r="AY43" s="326"/>
      <c r="AZ43" s="327"/>
      <c r="BA43" s="327"/>
      <c r="BB43" s="326"/>
      <c r="BC43" s="327"/>
      <c r="BD43" s="327"/>
      <c r="BE43" s="326"/>
      <c r="BF43" s="327"/>
      <c r="BG43" s="327"/>
      <c r="BH43" s="326"/>
      <c r="BI43" s="327"/>
      <c r="BJ43" s="327"/>
      <c r="BK43" s="326"/>
      <c r="BL43" s="327"/>
      <c r="BM43" s="327"/>
      <c r="BN43" s="326"/>
      <c r="BO43" s="327"/>
      <c r="BP43" s="327"/>
      <c r="BQ43" s="326"/>
      <c r="BR43" s="327"/>
      <c r="BS43" s="327"/>
      <c r="BT43" s="326"/>
      <c r="BU43" s="327"/>
      <c r="BV43" s="327"/>
      <c r="BW43" s="326"/>
      <c r="BX43" s="327"/>
      <c r="BY43" s="327"/>
      <c r="BZ43" s="326"/>
      <c r="CA43" s="327"/>
      <c r="CB43" s="327"/>
      <c r="CC43" s="326"/>
      <c r="CD43" s="327"/>
      <c r="CE43" s="327"/>
      <c r="CF43" s="326"/>
      <c r="CG43" s="327"/>
      <c r="CH43" s="327"/>
      <c r="CI43" s="326"/>
      <c r="CJ43" s="327"/>
      <c r="CK43" s="327"/>
      <c r="CL43" s="326"/>
      <c r="CM43" s="327"/>
      <c r="CN43" s="327"/>
      <c r="CO43" s="326"/>
      <c r="CP43" s="327"/>
      <c r="CQ43" s="327"/>
    </row>
    <row r="44" spans="1:95" s="1" customFormat="1" ht="18.75" customHeight="1" x14ac:dyDescent="0.25">
      <c r="A44" s="287" t="s">
        <v>193</v>
      </c>
      <c r="B44" s="287"/>
      <c r="C44" s="287"/>
      <c r="D44" s="287"/>
      <c r="E44" s="287"/>
      <c r="F44" s="48">
        <f>IF(SUMMARY!$B$7=TRUE,IF(COUNTBLANK(F45:F46)&gt;0,0,1),"")</f>
        <v>1</v>
      </c>
      <c r="G44" s="49"/>
      <c r="H44" s="49"/>
      <c r="I44" s="50">
        <f>IF(SUMMARY!$B$8=TRUE,IF(COUNTBLANK(I45:I46)&gt;0,0,1),"")</f>
        <v>1</v>
      </c>
      <c r="J44" s="49"/>
      <c r="K44" s="49"/>
      <c r="L44" s="50">
        <f>IF(SUMMARY!$B$9=TRUE,IF(COUNTBLANK(L45:L46)&gt;0,0,1),"")</f>
        <v>1</v>
      </c>
      <c r="M44" s="49"/>
      <c r="N44" s="49"/>
      <c r="O44" s="50">
        <f>IF(SUMMARY!$B$10=TRUE,IF(COUNTBLANK(O45:O46)&gt;0,0,1),"")</f>
        <v>1</v>
      </c>
      <c r="P44" s="49"/>
      <c r="Q44" s="49"/>
      <c r="R44" s="50">
        <f>IF(SUMMARY!$B$11=TRUE,IF(COUNTBLANK(R45:R46)&gt;0,0,1),"")</f>
        <v>1</v>
      </c>
      <c r="S44" s="49"/>
      <c r="T44" s="49"/>
      <c r="U44" s="50">
        <f>IF(SUMMARY!$B$12=TRUE,IF(COUNTBLANK(U45:U46)&gt;0,0,1),"")</f>
        <v>1</v>
      </c>
      <c r="V44" s="49"/>
      <c r="W44" s="49"/>
      <c r="X44" s="50">
        <f>IF(SUMMARY!$B$13=TRUE,IF(COUNTBLANK(X45:X46)&gt;0,0,1),"")</f>
        <v>1</v>
      </c>
      <c r="Y44" s="49"/>
      <c r="Z44" s="49"/>
      <c r="AA44" s="50">
        <f>IF(SUMMARY!$B$14=TRUE,IF(COUNTBLANK(AA45:AA46)&gt;0,0,1),"")</f>
        <v>1</v>
      </c>
      <c r="AB44" s="49"/>
      <c r="AC44" s="49"/>
      <c r="AD44" s="50">
        <f>IF(SUMMARY!$B$15=TRUE,IF(COUNTBLANK(AD45:AD46)&gt;0,0,1),"")</f>
        <v>1</v>
      </c>
      <c r="AE44" s="49"/>
      <c r="AF44" s="49"/>
      <c r="AG44" s="50">
        <f>IF(SUMMARY!$B$16=TRUE,IF(COUNTBLANK(AG45:AG46)&gt;0,0,1),"")</f>
        <v>1</v>
      </c>
      <c r="AH44" s="49"/>
      <c r="AI44" s="49"/>
      <c r="AJ44" s="50">
        <f>IF(SUMMARY!$B$17=TRUE,IF(COUNTBLANK(AJ45:AJ46)&gt;0,0,1),"")</f>
        <v>1</v>
      </c>
      <c r="AK44" s="49"/>
      <c r="AL44" s="49"/>
      <c r="AM44" s="50" t="str">
        <f>IF(SUMMARY!$B$18=TRUE,IF(COUNTBLANK(AM45:AM46)&gt;0,0,1),"")</f>
        <v/>
      </c>
      <c r="AN44" s="49"/>
      <c r="AO44" s="49"/>
      <c r="AP44" s="50" t="str">
        <f>IF(SUMMARY!$B$19=TRUE,IF(COUNTBLANK(AP45:AP46)&gt;0,0,1),"")</f>
        <v/>
      </c>
      <c r="AQ44" s="49"/>
      <c r="AR44" s="49"/>
      <c r="AS44" s="50" t="str">
        <f>IF(SUMMARY!$B$20=TRUE,IF(COUNTBLANK(AS45:AS46)&gt;0,0,1),"")</f>
        <v/>
      </c>
      <c r="AT44" s="49"/>
      <c r="AU44" s="49"/>
      <c r="AV44" s="50" t="str">
        <f>IF(SUMMARY!$B$21=TRUE,IF(COUNTBLANK(AV45:AV46)&gt;0,0,1),"")</f>
        <v/>
      </c>
      <c r="AW44" s="49"/>
      <c r="AX44" s="49"/>
      <c r="AY44" s="50" t="str">
        <f>IF(SUMMARY!$B$22=TRUE,IF(COUNTBLANK(AY45:AY46)&gt;0,0,1),"")</f>
        <v/>
      </c>
      <c r="AZ44" s="49"/>
      <c r="BA44" s="49"/>
      <c r="BB44" s="50" t="str">
        <f>IF(SUMMARY!$B$23=TRUE,IF(COUNTBLANK(BB45:BB46)&gt;0,0,1),"")</f>
        <v/>
      </c>
      <c r="BC44" s="49"/>
      <c r="BD44" s="49"/>
      <c r="BE44" s="50" t="str">
        <f>IF(SUMMARY!$B$24=TRUE,IF(COUNTBLANK(BE45:BE46)&gt;0,0,1),"")</f>
        <v/>
      </c>
      <c r="BF44" s="49"/>
      <c r="BG44" s="49"/>
      <c r="BH44" s="50" t="str">
        <f>IF(SUMMARY!$B$25=TRUE,IF(COUNTBLANK(BH45:BH46)&gt;0,0,1),"")</f>
        <v/>
      </c>
      <c r="BI44" s="49"/>
      <c r="BJ44" s="49"/>
      <c r="BK44" s="50" t="str">
        <f>IF(SUMMARY!$B$26=TRUE,IF(COUNTBLANK(BK45:BK46)&gt;0,0,1),"")</f>
        <v/>
      </c>
      <c r="BL44" s="49"/>
      <c r="BM44" s="49"/>
      <c r="BN44" s="50" t="str">
        <f>IF(SUMMARY!$B$27=TRUE,IF(COUNTBLANK(BN45:BN46)&gt;0,0,1),"")</f>
        <v/>
      </c>
      <c r="BO44" s="49"/>
      <c r="BP44" s="49"/>
      <c r="BQ44" s="50" t="str">
        <f>IF(SUMMARY!$B$28=TRUE,IF(COUNTBLANK(BQ45:BQ46)&gt;0,0,1),"")</f>
        <v/>
      </c>
      <c r="BR44" s="49"/>
      <c r="BS44" s="49"/>
      <c r="BT44" s="50" t="str">
        <f>IF(SUMMARY!$B$29=TRUE,IF(COUNTBLANK(BT45:BT46)&gt;0,0,1),"")</f>
        <v/>
      </c>
      <c r="BU44" s="49"/>
      <c r="BV44" s="49"/>
      <c r="BW44" s="50" t="str">
        <f>IF(SUMMARY!$B$30=TRUE,IF(COUNTBLANK(BW45:BW46)&gt;0,0,1),"")</f>
        <v/>
      </c>
      <c r="BX44" s="49"/>
      <c r="BY44" s="49"/>
      <c r="BZ44" s="50" t="str">
        <f>IF(SUMMARY!$B$31=TRUE,IF(COUNTBLANK(BZ45:BZ46)&gt;0,0,1),"")</f>
        <v/>
      </c>
      <c r="CA44" s="49"/>
      <c r="CB44" s="49"/>
      <c r="CC44" s="50" t="str">
        <f>IF(SUMMARY!$B$32=TRUE,IF(COUNTBLANK(CC45:CC46)&gt;0,0,1),"")</f>
        <v/>
      </c>
      <c r="CD44" s="49"/>
      <c r="CE44" s="49"/>
      <c r="CF44" s="50" t="str">
        <f>IF(SUMMARY!$B$33=TRUE,IF(COUNTBLANK(CF45:CF46)&gt;0,0,1),"")</f>
        <v/>
      </c>
      <c r="CG44" s="49"/>
      <c r="CH44" s="49"/>
      <c r="CI44" s="50" t="str">
        <f>IF(SUMMARY!$B$34=TRUE,IF(COUNTBLANK(CI45:CI46)&gt;0,0,1),"")</f>
        <v/>
      </c>
      <c r="CJ44" s="49"/>
      <c r="CK44" s="49"/>
      <c r="CL44" s="50" t="str">
        <f>IF(SUMMARY!$B$35=TRUE,IF(COUNTBLANK(CL45:CL46)&gt;0,0,1),"")</f>
        <v/>
      </c>
      <c r="CM44" s="49"/>
      <c r="CN44" s="49"/>
      <c r="CO44" s="51" t="str">
        <f>IF(SUMMARY!$B$36=TRUE,IF(COUNTBLANK(CO45:CO46)&gt;0,0,1),"")</f>
        <v/>
      </c>
      <c r="CP44" s="49"/>
      <c r="CQ44" s="49"/>
    </row>
    <row r="45" spans="1:95" s="13" customFormat="1" ht="15" customHeight="1" x14ac:dyDescent="0.25">
      <c r="A45" s="69" t="s">
        <v>67</v>
      </c>
      <c r="B45" s="69"/>
      <c r="C45" s="69"/>
      <c r="D45" s="292" t="s">
        <v>194</v>
      </c>
      <c r="E45" s="293"/>
      <c r="F45" s="339">
        <v>13617</v>
      </c>
      <c r="G45" s="340"/>
      <c r="H45" s="340"/>
      <c r="I45" s="339">
        <v>440</v>
      </c>
      <c r="J45" s="340"/>
      <c r="K45" s="340"/>
      <c r="L45" s="339">
        <v>437</v>
      </c>
      <c r="M45" s="340"/>
      <c r="N45" s="340"/>
      <c r="O45" s="339">
        <v>128</v>
      </c>
      <c r="P45" s="340"/>
      <c r="Q45" s="340"/>
      <c r="R45" s="339">
        <v>361</v>
      </c>
      <c r="S45" s="340"/>
      <c r="T45" s="340"/>
      <c r="U45" s="339">
        <v>361</v>
      </c>
      <c r="V45" s="340"/>
      <c r="W45" s="340"/>
      <c r="X45" s="339">
        <v>2715</v>
      </c>
      <c r="Y45" s="340"/>
      <c r="Z45" s="340"/>
      <c r="AA45" s="339">
        <v>138</v>
      </c>
      <c r="AB45" s="340"/>
      <c r="AC45" s="340"/>
      <c r="AD45" s="339">
        <v>424</v>
      </c>
      <c r="AE45" s="340"/>
      <c r="AF45" s="340"/>
      <c r="AG45" s="339">
        <v>779</v>
      </c>
      <c r="AH45" s="340"/>
      <c r="AI45" s="340"/>
      <c r="AJ45" s="339">
        <v>779</v>
      </c>
      <c r="AK45" s="340"/>
      <c r="AL45" s="340"/>
      <c r="AM45" s="339"/>
      <c r="AN45" s="340"/>
      <c r="AO45" s="340"/>
      <c r="AP45" s="339"/>
      <c r="AQ45" s="340"/>
      <c r="AR45" s="340"/>
      <c r="AS45" s="339"/>
      <c r="AT45" s="340"/>
      <c r="AU45" s="340"/>
      <c r="AV45" s="339"/>
      <c r="AW45" s="340"/>
      <c r="AX45" s="340"/>
      <c r="AY45" s="339"/>
      <c r="AZ45" s="340"/>
      <c r="BA45" s="340"/>
      <c r="BB45" s="339"/>
      <c r="BC45" s="340"/>
      <c r="BD45" s="340"/>
      <c r="BE45" s="339"/>
      <c r="BF45" s="340"/>
      <c r="BG45" s="340"/>
      <c r="BH45" s="339"/>
      <c r="BI45" s="340"/>
      <c r="BJ45" s="340"/>
      <c r="BK45" s="339"/>
      <c r="BL45" s="340"/>
      <c r="BM45" s="340"/>
      <c r="BN45" s="339"/>
      <c r="BO45" s="340"/>
      <c r="BP45" s="340"/>
      <c r="BQ45" s="339"/>
      <c r="BR45" s="340"/>
      <c r="BS45" s="340"/>
      <c r="BT45" s="339"/>
      <c r="BU45" s="340"/>
      <c r="BV45" s="340"/>
      <c r="BW45" s="339"/>
      <c r="BX45" s="340"/>
      <c r="BY45" s="340"/>
      <c r="BZ45" s="339"/>
      <c r="CA45" s="340"/>
      <c r="CB45" s="340"/>
      <c r="CC45" s="339"/>
      <c r="CD45" s="340"/>
      <c r="CE45" s="340"/>
      <c r="CF45" s="339"/>
      <c r="CG45" s="340"/>
      <c r="CH45" s="340"/>
      <c r="CI45" s="339"/>
      <c r="CJ45" s="340"/>
      <c r="CK45" s="340"/>
      <c r="CL45" s="339"/>
      <c r="CM45" s="340"/>
      <c r="CN45" s="340"/>
      <c r="CO45" s="339"/>
      <c r="CP45" s="340"/>
      <c r="CQ45" s="340"/>
    </row>
    <row r="46" spans="1:95" s="13" customFormat="1" ht="15" customHeight="1" x14ac:dyDescent="0.25">
      <c r="A46" s="62" t="s">
        <v>67</v>
      </c>
      <c r="B46" s="62"/>
      <c r="C46" s="62"/>
      <c r="D46" s="290" t="s">
        <v>195</v>
      </c>
      <c r="E46" s="291"/>
      <c r="F46" s="341">
        <v>1117</v>
      </c>
      <c r="G46" s="342"/>
      <c r="H46" s="342"/>
      <c r="I46" s="341">
        <v>40</v>
      </c>
      <c r="J46" s="342"/>
      <c r="K46" s="342"/>
      <c r="L46" s="341">
        <v>106</v>
      </c>
      <c r="M46" s="342"/>
      <c r="N46" s="342"/>
      <c r="O46" s="341">
        <v>21</v>
      </c>
      <c r="P46" s="342"/>
      <c r="Q46" s="342"/>
      <c r="R46" s="341">
        <v>56</v>
      </c>
      <c r="S46" s="342"/>
      <c r="T46" s="342"/>
      <c r="U46" s="341">
        <v>56</v>
      </c>
      <c r="V46" s="342"/>
      <c r="W46" s="342"/>
      <c r="X46" s="341">
        <v>298</v>
      </c>
      <c r="Y46" s="342"/>
      <c r="Z46" s="342"/>
      <c r="AA46" s="341">
        <v>28</v>
      </c>
      <c r="AB46" s="342"/>
      <c r="AC46" s="342"/>
      <c r="AD46" s="341">
        <v>124</v>
      </c>
      <c r="AE46" s="342"/>
      <c r="AF46" s="342"/>
      <c r="AG46" s="341">
        <v>208</v>
      </c>
      <c r="AH46" s="342"/>
      <c r="AI46" s="342"/>
      <c r="AJ46" s="341">
        <v>208</v>
      </c>
      <c r="AK46" s="342"/>
      <c r="AL46" s="342"/>
      <c r="AM46" s="341"/>
      <c r="AN46" s="342"/>
      <c r="AO46" s="342"/>
      <c r="AP46" s="341"/>
      <c r="AQ46" s="342"/>
      <c r="AR46" s="342"/>
      <c r="AS46" s="341"/>
      <c r="AT46" s="342"/>
      <c r="AU46" s="342"/>
      <c r="AV46" s="341"/>
      <c r="AW46" s="342"/>
      <c r="AX46" s="342"/>
      <c r="AY46" s="341"/>
      <c r="AZ46" s="342"/>
      <c r="BA46" s="342"/>
      <c r="BB46" s="341"/>
      <c r="BC46" s="342"/>
      <c r="BD46" s="342"/>
      <c r="BE46" s="341"/>
      <c r="BF46" s="342"/>
      <c r="BG46" s="342"/>
      <c r="BH46" s="341"/>
      <c r="BI46" s="342"/>
      <c r="BJ46" s="342"/>
      <c r="BK46" s="341"/>
      <c r="BL46" s="342"/>
      <c r="BM46" s="342"/>
      <c r="BN46" s="341"/>
      <c r="BO46" s="342"/>
      <c r="BP46" s="342"/>
      <c r="BQ46" s="341"/>
      <c r="BR46" s="342"/>
      <c r="BS46" s="342"/>
      <c r="BT46" s="341"/>
      <c r="BU46" s="342"/>
      <c r="BV46" s="342"/>
      <c r="BW46" s="341"/>
      <c r="BX46" s="342"/>
      <c r="BY46" s="342"/>
      <c r="BZ46" s="341"/>
      <c r="CA46" s="342"/>
      <c r="CB46" s="342"/>
      <c r="CC46" s="341"/>
      <c r="CD46" s="342"/>
      <c r="CE46" s="342"/>
      <c r="CF46" s="341"/>
      <c r="CG46" s="342"/>
      <c r="CH46" s="342"/>
      <c r="CI46" s="341"/>
      <c r="CJ46" s="342"/>
      <c r="CK46" s="342"/>
      <c r="CL46" s="341"/>
      <c r="CM46" s="342"/>
      <c r="CN46" s="342"/>
      <c r="CO46" s="341"/>
      <c r="CP46" s="342"/>
      <c r="CQ46" s="342"/>
    </row>
    <row r="47" spans="1:95" s="13" customFormat="1" ht="15" hidden="1" customHeight="1" x14ac:dyDescent="0.25">
      <c r="A47" s="63"/>
      <c r="B47" s="63"/>
      <c r="C47" s="63"/>
      <c r="D47" s="166"/>
      <c r="E47" s="70"/>
      <c r="F47" s="330">
        <f>MAX(F45-F46,0)</f>
        <v>12500</v>
      </c>
      <c r="G47" s="331"/>
      <c r="H47" s="331"/>
      <c r="I47" s="330">
        <f>MAX(I45-I46,0)</f>
        <v>400</v>
      </c>
      <c r="J47" s="331"/>
      <c r="K47" s="331"/>
      <c r="L47" s="330">
        <f>MAX(L45-L46,0)</f>
        <v>331</v>
      </c>
      <c r="M47" s="331"/>
      <c r="N47" s="331"/>
      <c r="O47" s="330">
        <f>MAX(O45-O46,0)</f>
        <v>107</v>
      </c>
      <c r="P47" s="331"/>
      <c r="Q47" s="331"/>
      <c r="R47" s="330">
        <f>MAX(R45-R46,0)</f>
        <v>305</v>
      </c>
      <c r="S47" s="331"/>
      <c r="T47" s="331"/>
      <c r="U47" s="330">
        <f>MAX(U45-U46,0)</f>
        <v>305</v>
      </c>
      <c r="V47" s="331"/>
      <c r="W47" s="331"/>
      <c r="X47" s="330">
        <f>MAX(X45-X46,0)</f>
        <v>2417</v>
      </c>
      <c r="Y47" s="331"/>
      <c r="Z47" s="331"/>
      <c r="AA47" s="330">
        <f>MAX(AA45-AA46,0)</f>
        <v>110</v>
      </c>
      <c r="AB47" s="331"/>
      <c r="AC47" s="331"/>
      <c r="AD47" s="330">
        <f>MAX(AD45-AD46,0)</f>
        <v>300</v>
      </c>
      <c r="AE47" s="331"/>
      <c r="AF47" s="331"/>
      <c r="AG47" s="330">
        <f>MAX(AG45-AG46,0)</f>
        <v>571</v>
      </c>
      <c r="AH47" s="331"/>
      <c r="AI47" s="331"/>
      <c r="AJ47" s="330">
        <f>MAX(AJ45-AJ46,0)</f>
        <v>571</v>
      </c>
      <c r="AK47" s="331"/>
      <c r="AL47" s="331"/>
      <c r="AM47" s="330">
        <f>MAX(AM45-AM46,0)</f>
        <v>0</v>
      </c>
      <c r="AN47" s="331"/>
      <c r="AO47" s="331"/>
      <c r="AP47" s="330">
        <f>MAX(AP45-AP46,0)</f>
        <v>0</v>
      </c>
      <c r="AQ47" s="331"/>
      <c r="AR47" s="331"/>
      <c r="AS47" s="330">
        <f>MAX(AS45-AS46,0)</f>
        <v>0</v>
      </c>
      <c r="AT47" s="331"/>
      <c r="AU47" s="331"/>
      <c r="AV47" s="330">
        <f>MAX(AV45-AV46,0)</f>
        <v>0</v>
      </c>
      <c r="AW47" s="331"/>
      <c r="AX47" s="331"/>
      <c r="AY47" s="330">
        <f>MAX(AY45-AY46,0)</f>
        <v>0</v>
      </c>
      <c r="AZ47" s="331"/>
      <c r="BA47" s="331"/>
      <c r="BB47" s="330">
        <f>MAX(BB45-BB46,0)</f>
        <v>0</v>
      </c>
      <c r="BC47" s="331"/>
      <c r="BD47" s="331"/>
      <c r="BE47" s="330">
        <f>MAX(BE45-BE46,0)</f>
        <v>0</v>
      </c>
      <c r="BF47" s="331"/>
      <c r="BG47" s="331"/>
      <c r="BH47" s="330">
        <f>MAX(BH45-BH46,0)</f>
        <v>0</v>
      </c>
      <c r="BI47" s="331"/>
      <c r="BJ47" s="331"/>
      <c r="BK47" s="330">
        <f>MAX(BK45-BK46,0)</f>
        <v>0</v>
      </c>
      <c r="BL47" s="331"/>
      <c r="BM47" s="331"/>
      <c r="BN47" s="330">
        <f>MAX(BN45-BN46,0)</f>
        <v>0</v>
      </c>
      <c r="BO47" s="331"/>
      <c r="BP47" s="331"/>
      <c r="BQ47" s="330">
        <f>MAX(BQ45-BQ46,0)</f>
        <v>0</v>
      </c>
      <c r="BR47" s="331"/>
      <c r="BS47" s="331"/>
      <c r="BT47" s="330">
        <f>MAX(BT45-BT46,0)</f>
        <v>0</v>
      </c>
      <c r="BU47" s="331"/>
      <c r="BV47" s="331"/>
      <c r="BW47" s="330">
        <f>MAX(BW45-BW46,0)</f>
        <v>0</v>
      </c>
      <c r="BX47" s="331"/>
      <c r="BY47" s="331"/>
      <c r="BZ47" s="330">
        <f>MAX(BZ45-BZ46,0)</f>
        <v>0</v>
      </c>
      <c r="CA47" s="331"/>
      <c r="CB47" s="331"/>
      <c r="CC47" s="330">
        <f>MAX(CC45-CC46,0)</f>
        <v>0</v>
      </c>
      <c r="CD47" s="331"/>
      <c r="CE47" s="331"/>
      <c r="CF47" s="330">
        <f>MAX(CF45-CF46,0)</f>
        <v>0</v>
      </c>
      <c r="CG47" s="331"/>
      <c r="CH47" s="331"/>
      <c r="CI47" s="330">
        <f>MAX(CI45-CI46,0)</f>
        <v>0</v>
      </c>
      <c r="CJ47" s="331"/>
      <c r="CK47" s="331"/>
      <c r="CL47" s="330">
        <f>MAX(CL45-CL46,0)</f>
        <v>0</v>
      </c>
      <c r="CM47" s="331"/>
      <c r="CN47" s="331"/>
      <c r="CO47" s="330">
        <f>MAX(CO45-CO46,0)</f>
        <v>0</v>
      </c>
      <c r="CP47" s="331"/>
      <c r="CQ47" s="331"/>
    </row>
    <row r="48" spans="1:95" s="13" customFormat="1" ht="15" customHeight="1" x14ac:dyDescent="0.25">
      <c r="A48" s="58"/>
      <c r="B48" s="58"/>
      <c r="C48" s="58" t="s">
        <v>67</v>
      </c>
      <c r="D48" s="288" t="s">
        <v>196</v>
      </c>
      <c r="E48" s="289"/>
      <c r="F48" s="343">
        <f>IF(OR(F$38="",F$46=""),"",IF(F$53="Survival",IF(ISERROR(F$46/F$38),"Unknown",F$46/F$38),IF(ISERROR(MIN(F$46,F$47)/F$38),"Unknown",MIN(F$46,F$47)/F$38)))</f>
        <v>29.394736842105264</v>
      </c>
      <c r="G48" s="344"/>
      <c r="H48" s="344"/>
      <c r="I48" s="343">
        <f>IF(OR(I$38="",I$46=""),"",IF(I$53="Survival",IF(ISERROR(I$46/I$38),"Unknown",I$46/I$38),IF(ISERROR(MIN(I$46,I$47)/I$38),"Unknown",MIN(I$46,I$47)/I$38)))</f>
        <v>2.1052631578947367</v>
      </c>
      <c r="J48" s="344"/>
      <c r="K48" s="344"/>
      <c r="L48" s="343" t="str">
        <f>IF(OR(L$38="",L$46=""),"",IF(L$53="Survival",IF(ISERROR(L$46/L$38),"Unknown",L$46/L$38),IF(ISERROR(MIN(L$46,L$47)/L$38),"Unknown",MIN(L$46,L$47)/L$38)))</f>
        <v>Unknown</v>
      </c>
      <c r="M48" s="344"/>
      <c r="N48" s="344"/>
      <c r="O48" s="343">
        <f>IF(OR(O$38="",O$46=""),"",IF(O$53="Survival",IF(ISERROR(O$46/O$38),"Unknown",O$46/O$38),IF(ISERROR(MIN(O$46,O$47)/O$38),"Unknown",MIN(O$46,O$47)/O$38)))</f>
        <v>1.4</v>
      </c>
      <c r="P48" s="344"/>
      <c r="Q48" s="344"/>
      <c r="R48" s="343">
        <f>IF(OR(R$38="",R$46=""),"",IF(R$53="Survival",IF(ISERROR(R$46/R$38),"Unknown",R$46/R$38),IF(ISERROR(MIN(R$46,R$47)/R$38),"Unknown",MIN(R$46,R$47)/R$38)))</f>
        <v>0.98245614035087714</v>
      </c>
      <c r="S48" s="344"/>
      <c r="T48" s="344"/>
      <c r="U48" s="343">
        <f>IF(OR(U$38="",U$46=""),"",IF(U$53="Survival",IF(ISERROR(U$46/U$38),"Unknown",U$46/U$38),IF(ISERROR(MIN(U$46,U$47)/U$38),"Unknown",MIN(U$46,U$47)/U$38)))</f>
        <v>0.98245614035087714</v>
      </c>
      <c r="V48" s="344"/>
      <c r="W48" s="344"/>
      <c r="X48" s="343">
        <f>IF(OR(X$38="",X$46=""),"",IF(X$53="Survival",IF(ISERROR(X$46/X$38),"Unknown",X$46/X$38),IF(ISERROR(MIN(X$46,X$47)/X$38),"Unknown",MIN(X$46,X$47)/X$38)))</f>
        <v>9.3125</v>
      </c>
      <c r="Y48" s="344"/>
      <c r="Z48" s="344"/>
      <c r="AA48" s="343">
        <f>IF(OR(AA$38="",AA$46=""),"",IF(AA$53="Survival",IF(ISERROR(AA$46/AA$38),"Unknown",AA$46/AA$38),IF(ISERROR(MIN(AA$46,AA$47)/AA$38),"Unknown",MIN(AA$46,AA$47)/AA$38)))</f>
        <v>0.5</v>
      </c>
      <c r="AB48" s="344"/>
      <c r="AC48" s="344"/>
      <c r="AD48" s="343">
        <f>IF(OR(AD$38="",AD$46=""),"",IF(AD$53="Survival",IF(ISERROR(AD$46/AD$38),"Unknown",AD$46/AD$38),IF(ISERROR(MIN(AD$46,AD$47)/AD$38),"Unknown",MIN(AD$46,AD$47)/AD$38)))</f>
        <v>3.3513513513513513</v>
      </c>
      <c r="AE48" s="344"/>
      <c r="AF48" s="344"/>
      <c r="AG48" s="343">
        <f>IF(OR(AG$38="",AG$46=""),"",IF(AG$53="Survival",IF(ISERROR(AG$46/AG$38),"Unknown",AG$46/AG$38),IF(ISERROR(MIN(AG$46,AG$47)/AG$38),"Unknown",MIN(AG$46,AG$47)/AG$38)))</f>
        <v>8</v>
      </c>
      <c r="AH48" s="344"/>
      <c r="AI48" s="344"/>
      <c r="AJ48" s="343">
        <f>IF(OR(AJ$38="",AJ$46=""),"",IF(AJ$53="Survival",IF(ISERROR(AJ$46/AJ$38),"Unknown",AJ$46/AJ$38),IF(ISERROR(MIN(AJ$46,AJ$47)/AJ$38),"Unknown",MIN(AJ$46,AJ$47)/AJ$38)))</f>
        <v>7.7037037037037033</v>
      </c>
      <c r="AK48" s="344"/>
      <c r="AL48" s="344"/>
      <c r="AM48" s="343" t="str">
        <f>IF(OR(AM$38="",AM$46=""),"",IF(AM$53="Survival",IF(ISERROR(AM$46/AM$38),"Unknown",AM$46/AM$38),IF(ISERROR(MIN(AM$46,AM$47)/AM$38),"Unknown",MIN(AM$46,AM$47)/AM$38)))</f>
        <v/>
      </c>
      <c r="AN48" s="344"/>
      <c r="AO48" s="344"/>
      <c r="AP48" s="343" t="str">
        <f>IF(OR(AP$38="",AP$46=""),"",IF(AP$53="Survival",IF(ISERROR(AP$46/AP$38),"Unknown",AP$46/AP$38),IF(ISERROR(MIN(AP$46,AP$47)/AP$38),"Unknown",MIN(AP$46,AP$47)/AP$38)))</f>
        <v/>
      </c>
      <c r="AQ48" s="344"/>
      <c r="AR48" s="344"/>
      <c r="AS48" s="343" t="str">
        <f>IF(OR(AS$38="",AS$46=""),"",IF(AS$53="Survival",IF(ISERROR(AS$46/AS$38),"Unknown",AS$46/AS$38),IF(ISERROR(MIN(AS$46,AS$47)/AS$38),"Unknown",MIN(AS$46,AS$47)/AS$38)))</f>
        <v/>
      </c>
      <c r="AT48" s="344"/>
      <c r="AU48" s="344"/>
      <c r="AV48" s="343" t="str">
        <f>IF(OR(AV$38="",AV$46=""),"",IF(AV$53="Survival",IF(ISERROR(AV$46/AV$38),"Unknown",AV$46/AV$38),IF(ISERROR(MIN(AV$46,AV$47)/AV$38),"Unknown",MIN(AV$46,AV$47)/AV$38)))</f>
        <v/>
      </c>
      <c r="AW48" s="344"/>
      <c r="AX48" s="344"/>
      <c r="AY48" s="343" t="str">
        <f>IF(OR(AY$38="",AY$46=""),"",IF(AY$53="Survival",IF(ISERROR(AY$46/AY$38),"Unknown",AY$46/AY$38),IF(ISERROR(MIN(AY$46,AY$47)/AY$38),"Unknown",MIN(AY$46,AY$47)/AY$38)))</f>
        <v/>
      </c>
      <c r="AZ48" s="344"/>
      <c r="BA48" s="344"/>
      <c r="BB48" s="343" t="str">
        <f>IF(OR(BB$38="",BB$46=""),"",IF(BB$53="Survival",IF(ISERROR(BB$46/BB$38),"Unknown",BB$46/BB$38),IF(ISERROR(MIN(BB$46,BB$47)/BB$38),"Unknown",MIN(BB$46,BB$47)/BB$38)))</f>
        <v/>
      </c>
      <c r="BC48" s="344"/>
      <c r="BD48" s="344"/>
      <c r="BE48" s="343" t="str">
        <f>IF(OR(BE$38="",BE$46=""),"",IF(BE$53="Survival",IF(ISERROR(BE$46/BE$38),"Unknown",BE$46/BE$38),IF(ISERROR(MIN(BE$46,BE$47)/BE$38),"Unknown",MIN(BE$46,BE$47)/BE$38)))</f>
        <v/>
      </c>
      <c r="BF48" s="344"/>
      <c r="BG48" s="344"/>
      <c r="BH48" s="343" t="str">
        <f>IF(OR(BH$38="",BH$46=""),"",IF(BH$53="Survival",IF(ISERROR(BH$46/BH$38),"Unknown",BH$46/BH$38),IF(ISERROR(MIN(BH$46,BH$47)/BH$38),"Unknown",MIN(BH$46,BH$47)/BH$38)))</f>
        <v/>
      </c>
      <c r="BI48" s="344"/>
      <c r="BJ48" s="344"/>
      <c r="BK48" s="343" t="str">
        <f>IF(OR(BK$38="",BK$46=""),"",IF(BK$53="Survival",IF(ISERROR(BK$46/BK$38),"Unknown",BK$46/BK$38),IF(ISERROR(MIN(BK$46,BK$47)/BK$38),"Unknown",MIN(BK$46,BK$47)/BK$38)))</f>
        <v/>
      </c>
      <c r="BL48" s="344"/>
      <c r="BM48" s="344"/>
      <c r="BN48" s="343" t="str">
        <f>IF(OR(BN$38="",BN$46=""),"",IF(BN$53="Survival",IF(ISERROR(BN$46/BN$38),"Unknown",BN$46/BN$38),IF(ISERROR(MIN(BN$46,BN$47)/BN$38),"Unknown",MIN(BN$46,BN$47)/BN$38)))</f>
        <v/>
      </c>
      <c r="BO48" s="344"/>
      <c r="BP48" s="344"/>
      <c r="BQ48" s="343" t="str">
        <f>IF(OR(BQ$38="",BQ$46=""),"",IF(BQ$53="Survival",IF(ISERROR(BQ$46/BQ$38),"Unknown",BQ$46/BQ$38),IF(ISERROR(MIN(BQ$46,BQ$47)/BQ$38),"Unknown",MIN(BQ$46,BQ$47)/BQ$38)))</f>
        <v/>
      </c>
      <c r="BR48" s="344"/>
      <c r="BS48" s="344"/>
      <c r="BT48" s="343" t="str">
        <f>IF(OR(BT$38="",BT$46=""),"",IF(BT$53="Survival",IF(ISERROR(BT$46/BT$38),"Unknown",BT$46/BT$38),IF(ISERROR(MIN(BT$46,BT$47)/BT$38),"Unknown",MIN(BT$46,BT$47)/BT$38)))</f>
        <v/>
      </c>
      <c r="BU48" s="344"/>
      <c r="BV48" s="344"/>
      <c r="BW48" s="343" t="str">
        <f>IF(OR(BW$38="",BW$46=""),"",IF(BW$53="Survival",IF(ISERROR(BW$46/BW$38),"Unknown",BW$46/BW$38),IF(ISERROR(MIN(BW$46,BW$47)/BW$38),"Unknown",MIN(BW$46,BW$47)/BW$38)))</f>
        <v/>
      </c>
      <c r="BX48" s="344"/>
      <c r="BY48" s="344"/>
      <c r="BZ48" s="343" t="str">
        <f>IF(OR(BZ$38="",BZ$46=""),"",IF(BZ$53="Survival",IF(ISERROR(BZ$46/BZ$38),"Unknown",BZ$46/BZ$38),IF(ISERROR(MIN(BZ$46,BZ$47)/BZ$38),"Unknown",MIN(BZ$46,BZ$47)/BZ$38)))</f>
        <v/>
      </c>
      <c r="CA48" s="344"/>
      <c r="CB48" s="344"/>
      <c r="CC48" s="343" t="str">
        <f>IF(OR(CC$38="",CC$46=""),"",IF(CC$53="Survival",IF(ISERROR(CC$46/CC$38),"Unknown",CC$46/CC$38),IF(ISERROR(MIN(CC$46,CC$47)/CC$38),"Unknown",MIN(CC$46,CC$47)/CC$38)))</f>
        <v/>
      </c>
      <c r="CD48" s="344"/>
      <c r="CE48" s="344"/>
      <c r="CF48" s="343" t="str">
        <f>IF(OR(CF$38="",CF$46=""),"",IF(CF$53="Survival",IF(ISERROR(CF$46/CF$38),"Unknown",CF$46/CF$38),IF(ISERROR(MIN(CF$46,CF$47)/CF$38),"Unknown",MIN(CF$46,CF$47)/CF$38)))</f>
        <v/>
      </c>
      <c r="CG48" s="344"/>
      <c r="CH48" s="344"/>
      <c r="CI48" s="343" t="str">
        <f>IF(OR(CI$38="",CI$46=""),"",IF(CI$53="Survival",IF(ISERROR(CI$46/CI$38),"Unknown",CI$46/CI$38),IF(ISERROR(MIN(CI$46,CI$47)/CI$38),"Unknown",MIN(CI$46,CI$47)/CI$38)))</f>
        <v/>
      </c>
      <c r="CJ48" s="344"/>
      <c r="CK48" s="344"/>
      <c r="CL48" s="343" t="str">
        <f>IF(OR(CL$38="",CL$46=""),"",IF(CL$53="Survival",IF(ISERROR(CL$46/CL$38),"Unknown",CL$46/CL$38),IF(ISERROR(MIN(CL$46,CL$47)/CL$38),"Unknown",MIN(CL$46,CL$47)/CL$38)))</f>
        <v/>
      </c>
      <c r="CM48" s="344"/>
      <c r="CN48" s="344"/>
      <c r="CO48" s="343" t="str">
        <f>IF(OR(CO$38="",CO$46=""),"",IF(CO$53="Survival",IF(ISERROR(CO$46/CO$38),"Unknown",CO$46/CO$38),IF(ISERROR(MIN(CO$46,CO$47)/CO$38),"Unknown",MIN(CO$46,CO$47)/CO$38)))</f>
        <v/>
      </c>
      <c r="CP48" s="344"/>
      <c r="CQ48" s="344"/>
    </row>
    <row r="49" spans="1:95" s="1" customFormat="1" ht="18.75" customHeight="1" x14ac:dyDescent="0.25">
      <c r="A49" s="287" t="s">
        <v>197</v>
      </c>
      <c r="B49" s="287"/>
      <c r="C49" s="287"/>
      <c r="D49" s="287"/>
      <c r="E49" s="287"/>
      <c r="F49" s="48">
        <f>IF(SUMMARY!$B$7=TRUE,IF(COUNTBLANK(F50:F51)&gt;0,0,1),"")</f>
        <v>1</v>
      </c>
      <c r="G49" s="49"/>
      <c r="H49" s="49"/>
      <c r="I49" s="50">
        <f>IF(SUMMARY!$B$8=TRUE,IF(COUNTBLANK(I50:I51)&gt;0,0,1),"")</f>
        <v>1</v>
      </c>
      <c r="J49" s="49"/>
      <c r="K49" s="49"/>
      <c r="L49" s="50">
        <f>IF(SUMMARY!$B$9=TRUE,IF(COUNTBLANK(L50:L51)&gt;0,0,1),"")</f>
        <v>1</v>
      </c>
      <c r="M49" s="49"/>
      <c r="N49" s="49"/>
      <c r="O49" s="50">
        <f>IF(SUMMARY!$B$10=TRUE,IF(COUNTBLANK(O50:O51)&gt;0,0,1),"")</f>
        <v>1</v>
      </c>
      <c r="P49" s="49"/>
      <c r="Q49" s="49"/>
      <c r="R49" s="50">
        <f>IF(SUMMARY!$B$11=TRUE,IF(COUNTBLANK(R50:R51)&gt;0,0,1),"")</f>
        <v>1</v>
      </c>
      <c r="S49" s="49"/>
      <c r="T49" s="49"/>
      <c r="U49" s="50">
        <f>IF(SUMMARY!$B$12=TRUE,IF(COUNTBLANK(U50:U51)&gt;0,0,1),"")</f>
        <v>1</v>
      </c>
      <c r="V49" s="49"/>
      <c r="W49" s="49"/>
      <c r="X49" s="50">
        <f>IF(SUMMARY!$B$13=TRUE,IF(COUNTBLANK(X50:X51)&gt;0,0,1),"")</f>
        <v>1</v>
      </c>
      <c r="Y49" s="49"/>
      <c r="Z49" s="49"/>
      <c r="AA49" s="50">
        <f>IF(SUMMARY!$B$14=TRUE,IF(COUNTBLANK(AA50:AA51)&gt;0,0,1),"")</f>
        <v>1</v>
      </c>
      <c r="AB49" s="49"/>
      <c r="AC49" s="49"/>
      <c r="AD49" s="50">
        <f>IF(SUMMARY!$B$15=TRUE,IF(COUNTBLANK(AD50:AD51)&gt;0,0,1),"")</f>
        <v>1</v>
      </c>
      <c r="AE49" s="49"/>
      <c r="AF49" s="49"/>
      <c r="AG49" s="50">
        <f>IF(SUMMARY!$B$16=TRUE,IF(COUNTBLANK(AG50:AG51)&gt;0,0,1),"")</f>
        <v>1</v>
      </c>
      <c r="AH49" s="49"/>
      <c r="AI49" s="49"/>
      <c r="AJ49" s="50">
        <f>IF(SUMMARY!$B$17=TRUE,IF(COUNTBLANK(AJ50:AJ51)&gt;0,0,1),"")</f>
        <v>1</v>
      </c>
      <c r="AK49" s="49"/>
      <c r="AL49" s="49"/>
      <c r="AM49" s="50" t="str">
        <f>IF(SUMMARY!$B$18=TRUE,IF(COUNTBLANK(AM50:AM51)&gt;0,0,1),"")</f>
        <v/>
      </c>
      <c r="AN49" s="49"/>
      <c r="AO49" s="49"/>
      <c r="AP49" s="50" t="str">
        <f>IF(SUMMARY!$B$19=TRUE,IF(COUNTBLANK(AP50:AP51)&gt;0,0,1),"")</f>
        <v/>
      </c>
      <c r="AQ49" s="49"/>
      <c r="AR49" s="49"/>
      <c r="AS49" s="50" t="str">
        <f>IF(SUMMARY!$B$20=TRUE,IF(COUNTBLANK(AS50:AS51)&gt;0,0,1),"")</f>
        <v/>
      </c>
      <c r="AT49" s="49"/>
      <c r="AU49" s="49"/>
      <c r="AV49" s="50" t="str">
        <f>IF(SUMMARY!$B$21=TRUE,IF(COUNTBLANK(AV50:AV51)&gt;0,0,1),"")</f>
        <v/>
      </c>
      <c r="AW49" s="49"/>
      <c r="AX49" s="49"/>
      <c r="AY49" s="50" t="str">
        <f>IF(SUMMARY!$B$22=TRUE,IF(COUNTBLANK(AY50:AY51)&gt;0,0,1),"")</f>
        <v/>
      </c>
      <c r="AZ49" s="49"/>
      <c r="BA49" s="49"/>
      <c r="BB49" s="50" t="str">
        <f>IF(SUMMARY!$B$23=TRUE,IF(COUNTBLANK(BB50:BB51)&gt;0,0,1),"")</f>
        <v/>
      </c>
      <c r="BC49" s="49"/>
      <c r="BD49" s="49"/>
      <c r="BE49" s="50" t="str">
        <f>IF(SUMMARY!$B$24=TRUE,IF(COUNTBLANK(BE50:BE51)&gt;0,0,1),"")</f>
        <v/>
      </c>
      <c r="BF49" s="49"/>
      <c r="BG49" s="49"/>
      <c r="BH49" s="50" t="str">
        <f>IF(SUMMARY!$B$25=TRUE,IF(COUNTBLANK(BH50:BH51)&gt;0,0,1),"")</f>
        <v/>
      </c>
      <c r="BI49" s="49"/>
      <c r="BJ49" s="49"/>
      <c r="BK49" s="50" t="str">
        <f>IF(SUMMARY!$B$26=TRUE,IF(COUNTBLANK(BK50:BK51)&gt;0,0,1),"")</f>
        <v/>
      </c>
      <c r="BL49" s="49"/>
      <c r="BM49" s="49"/>
      <c r="BN49" s="50" t="str">
        <f>IF(SUMMARY!$B$27=TRUE,IF(COUNTBLANK(BN50:BN51)&gt;0,0,1),"")</f>
        <v/>
      </c>
      <c r="BO49" s="49"/>
      <c r="BP49" s="49"/>
      <c r="BQ49" s="50" t="str">
        <f>IF(SUMMARY!$B$28=TRUE,IF(COUNTBLANK(BQ50:BQ51)&gt;0,0,1),"")</f>
        <v/>
      </c>
      <c r="BR49" s="49"/>
      <c r="BS49" s="49"/>
      <c r="BT49" s="50" t="str">
        <f>IF(SUMMARY!$B$29=TRUE,IF(COUNTBLANK(BT50:BT51)&gt;0,0,1),"")</f>
        <v/>
      </c>
      <c r="BU49" s="49"/>
      <c r="BV49" s="49"/>
      <c r="BW49" s="50" t="str">
        <f>IF(SUMMARY!$B$30=TRUE,IF(COUNTBLANK(BW50:BW51)&gt;0,0,1),"")</f>
        <v/>
      </c>
      <c r="BX49" s="49"/>
      <c r="BY49" s="49"/>
      <c r="BZ49" s="50" t="str">
        <f>IF(SUMMARY!$B$31=TRUE,IF(COUNTBLANK(BZ50:BZ51)&gt;0,0,1),"")</f>
        <v/>
      </c>
      <c r="CA49" s="49"/>
      <c r="CB49" s="49"/>
      <c r="CC49" s="50" t="str">
        <f>IF(SUMMARY!$B$32=TRUE,IF(COUNTBLANK(CC50:CC51)&gt;0,0,1),"")</f>
        <v/>
      </c>
      <c r="CD49" s="49"/>
      <c r="CE49" s="49"/>
      <c r="CF49" s="50" t="str">
        <f>IF(SUMMARY!$B$33=TRUE,IF(COUNTBLANK(CF50:CF51)&gt;0,0,1),"")</f>
        <v/>
      </c>
      <c r="CG49" s="49"/>
      <c r="CH49" s="49"/>
      <c r="CI49" s="50" t="str">
        <f>IF(SUMMARY!$B$34=TRUE,IF(COUNTBLANK(CI50:CI51)&gt;0,0,1),"")</f>
        <v/>
      </c>
      <c r="CJ49" s="49"/>
      <c r="CK49" s="49"/>
      <c r="CL49" s="50" t="str">
        <f>IF(SUMMARY!$B$35=TRUE,IF(COUNTBLANK(CL50:CL51)&gt;0,0,1),"")</f>
        <v/>
      </c>
      <c r="CM49" s="49"/>
      <c r="CN49" s="49"/>
      <c r="CO49" s="51" t="str">
        <f>IF(SUMMARY!$B$36=TRUE,IF(COUNTBLANK(CO50:CO51)&gt;0,0,1),"")</f>
        <v/>
      </c>
      <c r="CP49" s="49"/>
      <c r="CQ49" s="49"/>
    </row>
    <row r="50" spans="1:95" s="13" customFormat="1" ht="15" customHeight="1" x14ac:dyDescent="0.25">
      <c r="A50" s="69" t="s">
        <v>67</v>
      </c>
      <c r="B50" s="69"/>
      <c r="C50" s="69" t="s">
        <v>67</v>
      </c>
      <c r="D50" s="292" t="s">
        <v>198</v>
      </c>
      <c r="E50" s="293"/>
      <c r="F50" s="328">
        <v>98</v>
      </c>
      <c r="G50" s="329"/>
      <c r="H50" s="329"/>
      <c r="I50" s="328">
        <v>22</v>
      </c>
      <c r="J50" s="329"/>
      <c r="K50" s="329"/>
      <c r="L50" s="328" t="s">
        <v>84</v>
      </c>
      <c r="M50" s="329"/>
      <c r="N50" s="329"/>
      <c r="O50" s="328" t="s">
        <v>84</v>
      </c>
      <c r="P50" s="329"/>
      <c r="Q50" s="329"/>
      <c r="R50" s="328" t="s">
        <v>84</v>
      </c>
      <c r="S50" s="329"/>
      <c r="T50" s="329"/>
      <c r="U50" s="328" t="s">
        <v>84</v>
      </c>
      <c r="V50" s="329"/>
      <c r="W50" s="329"/>
      <c r="X50" s="328" t="s">
        <v>84</v>
      </c>
      <c r="Y50" s="329"/>
      <c r="Z50" s="329"/>
      <c r="AA50" s="328">
        <v>45</v>
      </c>
      <c r="AB50" s="329"/>
      <c r="AC50" s="329"/>
      <c r="AD50" s="328" t="s">
        <v>84</v>
      </c>
      <c r="AE50" s="329"/>
      <c r="AF50" s="329"/>
      <c r="AG50" s="328">
        <v>4</v>
      </c>
      <c r="AH50" s="329"/>
      <c r="AI50" s="329"/>
      <c r="AJ50" s="328">
        <v>4</v>
      </c>
      <c r="AK50" s="329"/>
      <c r="AL50" s="329"/>
      <c r="AM50" s="328"/>
      <c r="AN50" s="329"/>
      <c r="AO50" s="329"/>
      <c r="AP50" s="328"/>
      <c r="AQ50" s="329"/>
      <c r="AR50" s="329"/>
      <c r="AS50" s="328"/>
      <c r="AT50" s="329"/>
      <c r="AU50" s="329"/>
      <c r="AV50" s="328"/>
      <c r="AW50" s="329"/>
      <c r="AX50" s="329"/>
      <c r="AY50" s="328"/>
      <c r="AZ50" s="329"/>
      <c r="BA50" s="329"/>
      <c r="BB50" s="328"/>
      <c r="BC50" s="329"/>
      <c r="BD50" s="329"/>
      <c r="BE50" s="328"/>
      <c r="BF50" s="329"/>
      <c r="BG50" s="329"/>
      <c r="BH50" s="328"/>
      <c r="BI50" s="329"/>
      <c r="BJ50" s="329"/>
      <c r="BK50" s="328"/>
      <c r="BL50" s="329"/>
      <c r="BM50" s="329"/>
      <c r="BN50" s="328"/>
      <c r="BO50" s="329"/>
      <c r="BP50" s="329"/>
      <c r="BQ50" s="328"/>
      <c r="BR50" s="329"/>
      <c r="BS50" s="329"/>
      <c r="BT50" s="328"/>
      <c r="BU50" s="329"/>
      <c r="BV50" s="329"/>
      <c r="BW50" s="328"/>
      <c r="BX50" s="329"/>
      <c r="BY50" s="329"/>
      <c r="BZ50" s="328"/>
      <c r="CA50" s="329"/>
      <c r="CB50" s="329"/>
      <c r="CC50" s="328"/>
      <c r="CD50" s="329"/>
      <c r="CE50" s="329"/>
      <c r="CF50" s="328"/>
      <c r="CG50" s="329"/>
      <c r="CH50" s="329"/>
      <c r="CI50" s="328"/>
      <c r="CJ50" s="329"/>
      <c r="CK50" s="329"/>
      <c r="CL50" s="328"/>
      <c r="CM50" s="329"/>
      <c r="CN50" s="329"/>
      <c r="CO50" s="328"/>
      <c r="CP50" s="329"/>
      <c r="CQ50" s="329"/>
    </row>
    <row r="51" spans="1:95" s="13" customFormat="1" ht="15" customHeight="1" x14ac:dyDescent="0.25">
      <c r="A51" s="58"/>
      <c r="B51" s="58"/>
      <c r="C51" s="58" t="s">
        <v>67</v>
      </c>
      <c r="D51" s="288" t="s">
        <v>199</v>
      </c>
      <c r="E51" s="289"/>
      <c r="F51" s="326" t="s">
        <v>84</v>
      </c>
      <c r="G51" s="327"/>
      <c r="H51" s="327"/>
      <c r="I51" s="326" t="s">
        <v>84</v>
      </c>
      <c r="J51" s="327"/>
      <c r="K51" s="327"/>
      <c r="L51" s="326" t="s">
        <v>84</v>
      </c>
      <c r="M51" s="327"/>
      <c r="N51" s="327"/>
      <c r="O51" s="326" t="s">
        <v>84</v>
      </c>
      <c r="P51" s="327"/>
      <c r="Q51" s="327"/>
      <c r="R51" s="326" t="s">
        <v>84</v>
      </c>
      <c r="S51" s="327"/>
      <c r="T51" s="327"/>
      <c r="U51" s="326" t="s">
        <v>84</v>
      </c>
      <c r="V51" s="327"/>
      <c r="W51" s="327"/>
      <c r="X51" s="326" t="s">
        <v>84</v>
      </c>
      <c r="Y51" s="327"/>
      <c r="Z51" s="327"/>
      <c r="AA51" s="326" t="s">
        <v>84</v>
      </c>
      <c r="AB51" s="327"/>
      <c r="AC51" s="327"/>
      <c r="AD51" s="326" t="s">
        <v>84</v>
      </c>
      <c r="AE51" s="327"/>
      <c r="AF51" s="327"/>
      <c r="AG51" s="326" t="s">
        <v>200</v>
      </c>
      <c r="AH51" s="327"/>
      <c r="AI51" s="327"/>
      <c r="AJ51" s="326" t="s">
        <v>200</v>
      </c>
      <c r="AK51" s="327"/>
      <c r="AL51" s="327"/>
      <c r="AM51" s="326"/>
      <c r="AN51" s="327"/>
      <c r="AO51" s="327"/>
      <c r="AP51" s="326"/>
      <c r="AQ51" s="327"/>
      <c r="AR51" s="327"/>
      <c r="AS51" s="326"/>
      <c r="AT51" s="327"/>
      <c r="AU51" s="327"/>
      <c r="AV51" s="326"/>
      <c r="AW51" s="327"/>
      <c r="AX51" s="327"/>
      <c r="AY51" s="326"/>
      <c r="AZ51" s="327"/>
      <c r="BA51" s="327"/>
      <c r="BB51" s="326"/>
      <c r="BC51" s="327"/>
      <c r="BD51" s="327"/>
      <c r="BE51" s="326"/>
      <c r="BF51" s="327"/>
      <c r="BG51" s="327"/>
      <c r="BH51" s="326"/>
      <c r="BI51" s="327"/>
      <c r="BJ51" s="327"/>
      <c r="BK51" s="326"/>
      <c r="BL51" s="327"/>
      <c r="BM51" s="327"/>
      <c r="BN51" s="326"/>
      <c r="BO51" s="327"/>
      <c r="BP51" s="327"/>
      <c r="BQ51" s="326"/>
      <c r="BR51" s="327"/>
      <c r="BS51" s="327"/>
      <c r="BT51" s="326"/>
      <c r="BU51" s="327"/>
      <c r="BV51" s="327"/>
      <c r="BW51" s="326"/>
      <c r="BX51" s="327"/>
      <c r="BY51" s="327"/>
      <c r="BZ51" s="326"/>
      <c r="CA51" s="327"/>
      <c r="CB51" s="327"/>
      <c r="CC51" s="326"/>
      <c r="CD51" s="327"/>
      <c r="CE51" s="327"/>
      <c r="CF51" s="326"/>
      <c r="CG51" s="327"/>
      <c r="CH51" s="327"/>
      <c r="CI51" s="326"/>
      <c r="CJ51" s="327"/>
      <c r="CK51" s="327"/>
      <c r="CL51" s="326"/>
      <c r="CM51" s="327"/>
      <c r="CN51" s="327"/>
      <c r="CO51" s="326"/>
      <c r="CP51" s="327"/>
      <c r="CQ51" s="327"/>
    </row>
    <row r="52" spans="1:95" s="1" customFormat="1" ht="18.75" customHeight="1" x14ac:dyDescent="0.25">
      <c r="A52" s="287" t="s">
        <v>201</v>
      </c>
      <c r="B52" s="287"/>
      <c r="C52" s="287"/>
      <c r="D52" s="287"/>
      <c r="E52" s="287"/>
      <c r="F52" s="48">
        <f>IF(SUMMARY!$B$7=TRUE,IF(COUNTBLANK(F53:F56)&gt;0,0,1),"")</f>
        <v>1</v>
      </c>
      <c r="G52" s="49"/>
      <c r="H52" s="49"/>
      <c r="I52" s="50">
        <f>IF(SUMMARY!$B$8=TRUE,IF(COUNTBLANK(I53:I56)&gt;0,0,1),"")</f>
        <v>1</v>
      </c>
      <c r="J52" s="49"/>
      <c r="K52" s="49"/>
      <c r="L52" s="50">
        <f>IF(SUMMARY!$B$9=TRUE,IF(COUNTBLANK(L53:L56)&gt;0,0,1),"")</f>
        <v>1</v>
      </c>
      <c r="M52" s="49"/>
      <c r="N52" s="49"/>
      <c r="O52" s="50">
        <f>IF(SUMMARY!$B$10=TRUE,IF(COUNTBLANK(O53:O56)&gt;0,0,1),"")</f>
        <v>1</v>
      </c>
      <c r="P52" s="49"/>
      <c r="Q52" s="49"/>
      <c r="R52" s="50">
        <f>IF(SUMMARY!$B$11=TRUE,IF(COUNTBLANK(R53:R56)&gt;0,0,1),"")</f>
        <v>1</v>
      </c>
      <c r="S52" s="49"/>
      <c r="T52" s="49"/>
      <c r="U52" s="50">
        <f>IF(SUMMARY!$B$12=TRUE,IF(COUNTBLANK(U53:U56)&gt;0,0,1),"")</f>
        <v>1</v>
      </c>
      <c r="V52" s="49"/>
      <c r="W52" s="49"/>
      <c r="X52" s="50">
        <f>IF(SUMMARY!$B$13=TRUE,IF(COUNTBLANK(X53:X56)&gt;0,0,1),"")</f>
        <v>1</v>
      </c>
      <c r="Y52" s="49"/>
      <c r="Z52" s="49"/>
      <c r="AA52" s="50">
        <f>IF(SUMMARY!$B$14=TRUE,IF(COUNTBLANK(AA53:AA56)&gt;0,0,1),"")</f>
        <v>1</v>
      </c>
      <c r="AB52" s="49"/>
      <c r="AC52" s="49"/>
      <c r="AD52" s="50">
        <f>IF(SUMMARY!$B$15=TRUE,IF(COUNTBLANK(AD53:AD56)&gt;0,0,1),"")</f>
        <v>1</v>
      </c>
      <c r="AE52" s="49"/>
      <c r="AF52" s="49"/>
      <c r="AG52" s="50">
        <f>IF(SUMMARY!$B$16=TRUE,IF(COUNTBLANK(AG53:AG56)&gt;0,0,1),"")</f>
        <v>1</v>
      </c>
      <c r="AH52" s="49"/>
      <c r="AI52" s="49"/>
      <c r="AJ52" s="50">
        <f>IF(SUMMARY!$B$17=TRUE,IF(COUNTBLANK(AJ53:AJ56)&gt;0,0,1),"")</f>
        <v>1</v>
      </c>
      <c r="AK52" s="49"/>
      <c r="AL52" s="49"/>
      <c r="AM52" s="50" t="str">
        <f>IF(SUMMARY!$B$18=TRUE,IF(COUNTBLANK(AM53:AM56)&gt;0,0,1),"")</f>
        <v/>
      </c>
      <c r="AN52" s="49"/>
      <c r="AO52" s="49"/>
      <c r="AP52" s="50" t="str">
        <f>IF(SUMMARY!$B$19=TRUE,IF(COUNTBLANK(AP53:AP56)&gt;0,0,1),"")</f>
        <v/>
      </c>
      <c r="AQ52" s="49"/>
      <c r="AR52" s="49"/>
      <c r="AS52" s="50" t="str">
        <f>IF(SUMMARY!$B$20=TRUE,IF(COUNTBLANK(AS53:AS56)&gt;0,0,1),"")</f>
        <v/>
      </c>
      <c r="AT52" s="49"/>
      <c r="AU52" s="49"/>
      <c r="AV52" s="50" t="str">
        <f>IF(SUMMARY!$B$21=TRUE,IF(COUNTBLANK(AV53:AV56)&gt;0,0,1),"")</f>
        <v/>
      </c>
      <c r="AW52" s="49"/>
      <c r="AX52" s="49"/>
      <c r="AY52" s="50" t="str">
        <f>IF(SUMMARY!$B$22=TRUE,IF(COUNTBLANK(AY53:AY56)&gt;0,0,1),"")</f>
        <v/>
      </c>
      <c r="AZ52" s="49"/>
      <c r="BA52" s="49"/>
      <c r="BB52" s="50" t="str">
        <f>IF(SUMMARY!$B$23=TRUE,IF(COUNTBLANK(BB53:BB56)&gt;0,0,1),"")</f>
        <v/>
      </c>
      <c r="BC52" s="49"/>
      <c r="BD52" s="49"/>
      <c r="BE52" s="50" t="str">
        <f>IF(SUMMARY!$B$24=TRUE,IF(COUNTBLANK(BE53:BE56)&gt;0,0,1),"")</f>
        <v/>
      </c>
      <c r="BF52" s="49"/>
      <c r="BG52" s="49"/>
      <c r="BH52" s="50" t="str">
        <f>IF(SUMMARY!$B$25=TRUE,IF(COUNTBLANK(BH53:BH56)&gt;0,0,1),"")</f>
        <v/>
      </c>
      <c r="BI52" s="49"/>
      <c r="BJ52" s="49"/>
      <c r="BK52" s="50" t="str">
        <f>IF(SUMMARY!$B$26=TRUE,IF(COUNTBLANK(BK53:BK56)&gt;0,0,1),"")</f>
        <v/>
      </c>
      <c r="BL52" s="49"/>
      <c r="BM52" s="49"/>
      <c r="BN52" s="50" t="str">
        <f>IF(SUMMARY!$B$27=TRUE,IF(COUNTBLANK(BN53:BN56)&gt;0,0,1),"")</f>
        <v/>
      </c>
      <c r="BO52" s="49"/>
      <c r="BP52" s="49"/>
      <c r="BQ52" s="50" t="str">
        <f>IF(SUMMARY!$B$28=TRUE,IF(COUNTBLANK(BQ53:BQ56)&gt;0,0,1),"")</f>
        <v/>
      </c>
      <c r="BR52" s="49"/>
      <c r="BS52" s="49"/>
      <c r="BT52" s="50" t="str">
        <f>IF(SUMMARY!$B$29=TRUE,IF(COUNTBLANK(BT53:BT56)&gt;0,0,1),"")</f>
        <v/>
      </c>
      <c r="BU52" s="49"/>
      <c r="BV52" s="49"/>
      <c r="BW52" s="50" t="str">
        <f>IF(SUMMARY!$B$30=TRUE,IF(COUNTBLANK(BW53:BW56)&gt;0,0,1),"")</f>
        <v/>
      </c>
      <c r="BX52" s="49"/>
      <c r="BY52" s="49"/>
      <c r="BZ52" s="50" t="str">
        <f>IF(SUMMARY!$B$31=TRUE,IF(COUNTBLANK(BZ53:BZ56)&gt;0,0,1),"")</f>
        <v/>
      </c>
      <c r="CA52" s="49"/>
      <c r="CB52" s="49"/>
      <c r="CC52" s="50" t="str">
        <f>IF(SUMMARY!$B$32=TRUE,IF(COUNTBLANK(CC53:CC56)&gt;0,0,1),"")</f>
        <v/>
      </c>
      <c r="CD52" s="49"/>
      <c r="CE52" s="49"/>
      <c r="CF52" s="50" t="str">
        <f>IF(SUMMARY!$B$33=TRUE,IF(COUNTBLANK(CF53:CF56)&gt;0,0,1),"")</f>
        <v/>
      </c>
      <c r="CG52" s="49"/>
      <c r="CH52" s="49"/>
      <c r="CI52" s="50" t="str">
        <f>IF(SUMMARY!$B$34=TRUE,IF(COUNTBLANK(CI53:CI56)&gt;0,0,1),"")</f>
        <v/>
      </c>
      <c r="CJ52" s="49"/>
      <c r="CK52" s="49"/>
      <c r="CL52" s="50" t="str">
        <f>IF(SUMMARY!$B$35=TRUE,IF(COUNTBLANK(CL53:CL56)&gt;0,0,1),"")</f>
        <v/>
      </c>
      <c r="CM52" s="49"/>
      <c r="CN52" s="49"/>
      <c r="CO52" s="51" t="str">
        <f>IF(SUMMARY!$B$36=TRUE,IF(COUNTBLANK(CO53:CO56)&gt;0,0,1),"")</f>
        <v/>
      </c>
      <c r="CP52" s="49"/>
      <c r="CQ52" s="49"/>
    </row>
    <row r="53" spans="1:95" s="13" customFormat="1" ht="15" customHeight="1" x14ac:dyDescent="0.25">
      <c r="A53" s="69" t="s">
        <v>67</v>
      </c>
      <c r="B53" s="69"/>
      <c r="C53" s="69"/>
      <c r="D53" s="292" t="s">
        <v>202</v>
      </c>
      <c r="E53" s="293"/>
      <c r="F53" s="328" t="s">
        <v>203</v>
      </c>
      <c r="G53" s="329"/>
      <c r="H53" s="329"/>
      <c r="I53" s="328" t="s">
        <v>204</v>
      </c>
      <c r="J53" s="329"/>
      <c r="K53" s="329"/>
      <c r="L53" s="328" t="s">
        <v>204</v>
      </c>
      <c r="M53" s="329"/>
      <c r="N53" s="329"/>
      <c r="O53" s="328" t="s">
        <v>204</v>
      </c>
      <c r="P53" s="329"/>
      <c r="Q53" s="329"/>
      <c r="R53" s="328" t="s">
        <v>204</v>
      </c>
      <c r="S53" s="329"/>
      <c r="T53" s="329"/>
      <c r="U53" s="328" t="s">
        <v>204</v>
      </c>
      <c r="V53" s="329"/>
      <c r="W53" s="329"/>
      <c r="X53" s="328" t="s">
        <v>204</v>
      </c>
      <c r="Y53" s="329"/>
      <c r="Z53" s="329"/>
      <c r="AA53" s="328" t="s">
        <v>204</v>
      </c>
      <c r="AB53" s="329"/>
      <c r="AC53" s="329"/>
      <c r="AD53" s="328" t="s">
        <v>204</v>
      </c>
      <c r="AE53" s="329"/>
      <c r="AF53" s="329"/>
      <c r="AG53" s="328" t="s">
        <v>204</v>
      </c>
      <c r="AH53" s="329"/>
      <c r="AI53" s="329"/>
      <c r="AJ53" s="328" t="s">
        <v>204</v>
      </c>
      <c r="AK53" s="329"/>
      <c r="AL53" s="329"/>
      <c r="AM53" s="328"/>
      <c r="AN53" s="329"/>
      <c r="AO53" s="329"/>
      <c r="AP53" s="328"/>
      <c r="AQ53" s="329"/>
      <c r="AR53" s="329"/>
      <c r="AS53" s="328"/>
      <c r="AT53" s="329"/>
      <c r="AU53" s="329"/>
      <c r="AV53" s="328"/>
      <c r="AW53" s="329"/>
      <c r="AX53" s="329"/>
      <c r="AY53" s="328"/>
      <c r="AZ53" s="329"/>
      <c r="BA53" s="329"/>
      <c r="BB53" s="328"/>
      <c r="BC53" s="329"/>
      <c r="BD53" s="329"/>
      <c r="BE53" s="328"/>
      <c r="BF53" s="329"/>
      <c r="BG53" s="329"/>
      <c r="BH53" s="328"/>
      <c r="BI53" s="329"/>
      <c r="BJ53" s="329"/>
      <c r="BK53" s="328"/>
      <c r="BL53" s="329"/>
      <c r="BM53" s="329"/>
      <c r="BN53" s="328"/>
      <c r="BO53" s="329"/>
      <c r="BP53" s="329"/>
      <c r="BQ53" s="328"/>
      <c r="BR53" s="329"/>
      <c r="BS53" s="329"/>
      <c r="BT53" s="328"/>
      <c r="BU53" s="329"/>
      <c r="BV53" s="329"/>
      <c r="BW53" s="328"/>
      <c r="BX53" s="329"/>
      <c r="BY53" s="329"/>
      <c r="BZ53" s="328"/>
      <c r="CA53" s="329"/>
      <c r="CB53" s="329"/>
      <c r="CC53" s="328"/>
      <c r="CD53" s="329"/>
      <c r="CE53" s="329"/>
      <c r="CF53" s="328"/>
      <c r="CG53" s="329"/>
      <c r="CH53" s="329"/>
      <c r="CI53" s="328"/>
      <c r="CJ53" s="329"/>
      <c r="CK53" s="329"/>
      <c r="CL53" s="328"/>
      <c r="CM53" s="329"/>
      <c r="CN53" s="329"/>
      <c r="CO53" s="328"/>
      <c r="CP53" s="329"/>
      <c r="CQ53" s="329"/>
    </row>
    <row r="54" spans="1:95" s="13" customFormat="1" ht="15" customHeight="1" x14ac:dyDescent="0.25">
      <c r="A54" s="62"/>
      <c r="B54" s="62"/>
      <c r="C54" s="62" t="s">
        <v>67</v>
      </c>
      <c r="D54" s="290" t="s">
        <v>205</v>
      </c>
      <c r="E54" s="291"/>
      <c r="F54" s="330" t="s">
        <v>206</v>
      </c>
      <c r="G54" s="331"/>
      <c r="H54" s="331"/>
      <c r="I54" s="330" t="s">
        <v>206</v>
      </c>
      <c r="J54" s="331"/>
      <c r="K54" s="331"/>
      <c r="L54" s="330" t="s">
        <v>206</v>
      </c>
      <c r="M54" s="331"/>
      <c r="N54" s="331"/>
      <c r="O54" s="330" t="s">
        <v>206</v>
      </c>
      <c r="P54" s="331"/>
      <c r="Q54" s="331"/>
      <c r="R54" s="330" t="s">
        <v>206</v>
      </c>
      <c r="S54" s="331"/>
      <c r="T54" s="331"/>
      <c r="U54" s="330" t="s">
        <v>206</v>
      </c>
      <c r="V54" s="331"/>
      <c r="W54" s="331"/>
      <c r="X54" s="330" t="s">
        <v>206</v>
      </c>
      <c r="Y54" s="331"/>
      <c r="Z54" s="331"/>
      <c r="AA54" s="330" t="s">
        <v>206</v>
      </c>
      <c r="AB54" s="331"/>
      <c r="AC54" s="331"/>
      <c r="AD54" s="330" t="s">
        <v>207</v>
      </c>
      <c r="AE54" s="331"/>
      <c r="AF54" s="331"/>
      <c r="AG54" s="330" t="s">
        <v>208</v>
      </c>
      <c r="AH54" s="331"/>
      <c r="AI54" s="331"/>
      <c r="AJ54" s="330" t="s">
        <v>208</v>
      </c>
      <c r="AK54" s="331"/>
      <c r="AL54" s="331"/>
      <c r="AM54" s="330"/>
      <c r="AN54" s="331"/>
      <c r="AO54" s="331"/>
      <c r="AP54" s="330"/>
      <c r="AQ54" s="331"/>
      <c r="AR54" s="331"/>
      <c r="AS54" s="330"/>
      <c r="AT54" s="331"/>
      <c r="AU54" s="331"/>
      <c r="AV54" s="330"/>
      <c r="AW54" s="331"/>
      <c r="AX54" s="331"/>
      <c r="AY54" s="330"/>
      <c r="AZ54" s="331"/>
      <c r="BA54" s="331"/>
      <c r="BB54" s="330"/>
      <c r="BC54" s="331"/>
      <c r="BD54" s="331"/>
      <c r="BE54" s="330"/>
      <c r="BF54" s="331"/>
      <c r="BG54" s="331"/>
      <c r="BH54" s="330"/>
      <c r="BI54" s="331"/>
      <c r="BJ54" s="331"/>
      <c r="BK54" s="330"/>
      <c r="BL54" s="331"/>
      <c r="BM54" s="331"/>
      <c r="BN54" s="330"/>
      <c r="BO54" s="331"/>
      <c r="BP54" s="331"/>
      <c r="BQ54" s="330"/>
      <c r="BR54" s="331"/>
      <c r="BS54" s="331"/>
      <c r="BT54" s="330"/>
      <c r="BU54" s="331"/>
      <c r="BV54" s="331"/>
      <c r="BW54" s="330"/>
      <c r="BX54" s="331"/>
      <c r="BY54" s="331"/>
      <c r="BZ54" s="330"/>
      <c r="CA54" s="331"/>
      <c r="CB54" s="331"/>
      <c r="CC54" s="330"/>
      <c r="CD54" s="331"/>
      <c r="CE54" s="331"/>
      <c r="CF54" s="330"/>
      <c r="CG54" s="331"/>
      <c r="CH54" s="331"/>
      <c r="CI54" s="330"/>
      <c r="CJ54" s="331"/>
      <c r="CK54" s="331"/>
      <c r="CL54" s="330"/>
      <c r="CM54" s="331"/>
      <c r="CN54" s="331"/>
      <c r="CO54" s="330"/>
      <c r="CP54" s="331"/>
      <c r="CQ54" s="331"/>
    </row>
    <row r="55" spans="1:95" s="13" customFormat="1" ht="15" customHeight="1" x14ac:dyDescent="0.25">
      <c r="A55" s="62"/>
      <c r="B55" s="62"/>
      <c r="C55" s="62" t="s">
        <v>67</v>
      </c>
      <c r="D55" s="290" t="s">
        <v>209</v>
      </c>
      <c r="E55" s="291"/>
      <c r="F55" s="330" t="s">
        <v>84</v>
      </c>
      <c r="G55" s="331"/>
      <c r="H55" s="331"/>
      <c r="I55" s="330" t="s">
        <v>84</v>
      </c>
      <c r="J55" s="331"/>
      <c r="K55" s="331"/>
      <c r="L55" s="330" t="s">
        <v>210</v>
      </c>
      <c r="M55" s="331"/>
      <c r="N55" s="331"/>
      <c r="O55" s="330" t="s">
        <v>84</v>
      </c>
      <c r="P55" s="331"/>
      <c r="Q55" s="331"/>
      <c r="R55" s="330" t="s">
        <v>211</v>
      </c>
      <c r="S55" s="331"/>
      <c r="T55" s="331"/>
      <c r="U55" s="330" t="s">
        <v>211</v>
      </c>
      <c r="V55" s="331"/>
      <c r="W55" s="331"/>
      <c r="X55" s="330" t="s">
        <v>84</v>
      </c>
      <c r="Y55" s="331"/>
      <c r="Z55" s="331"/>
      <c r="AA55" s="330" t="s">
        <v>211</v>
      </c>
      <c r="AB55" s="331"/>
      <c r="AC55" s="331"/>
      <c r="AD55" s="330" t="s">
        <v>210</v>
      </c>
      <c r="AE55" s="331"/>
      <c r="AF55" s="331"/>
      <c r="AG55" s="330" t="s">
        <v>212</v>
      </c>
      <c r="AH55" s="331"/>
      <c r="AI55" s="331"/>
      <c r="AJ55" s="330" t="s">
        <v>212</v>
      </c>
      <c r="AK55" s="331"/>
      <c r="AL55" s="331"/>
      <c r="AM55" s="330"/>
      <c r="AN55" s="331"/>
      <c r="AO55" s="331"/>
      <c r="AP55" s="330"/>
      <c r="AQ55" s="331"/>
      <c r="AR55" s="331"/>
      <c r="AS55" s="330"/>
      <c r="AT55" s="331"/>
      <c r="AU55" s="331"/>
      <c r="AV55" s="330"/>
      <c r="AW55" s="331"/>
      <c r="AX55" s="331"/>
      <c r="AY55" s="330"/>
      <c r="AZ55" s="331"/>
      <c r="BA55" s="331"/>
      <c r="BB55" s="330"/>
      <c r="BC55" s="331"/>
      <c r="BD55" s="331"/>
      <c r="BE55" s="330"/>
      <c r="BF55" s="331"/>
      <c r="BG55" s="331"/>
      <c r="BH55" s="330"/>
      <c r="BI55" s="331"/>
      <c r="BJ55" s="331"/>
      <c r="BK55" s="330"/>
      <c r="BL55" s="331"/>
      <c r="BM55" s="331"/>
      <c r="BN55" s="330"/>
      <c r="BO55" s="331"/>
      <c r="BP55" s="331"/>
      <c r="BQ55" s="330"/>
      <c r="BR55" s="331"/>
      <c r="BS55" s="331"/>
      <c r="BT55" s="330"/>
      <c r="BU55" s="331"/>
      <c r="BV55" s="331"/>
      <c r="BW55" s="330"/>
      <c r="BX55" s="331"/>
      <c r="BY55" s="331"/>
      <c r="BZ55" s="330"/>
      <c r="CA55" s="331"/>
      <c r="CB55" s="331"/>
      <c r="CC55" s="330"/>
      <c r="CD55" s="331"/>
      <c r="CE55" s="331"/>
      <c r="CF55" s="330"/>
      <c r="CG55" s="331"/>
      <c r="CH55" s="331"/>
      <c r="CI55" s="330"/>
      <c r="CJ55" s="331"/>
      <c r="CK55" s="331"/>
      <c r="CL55" s="330"/>
      <c r="CM55" s="331"/>
      <c r="CN55" s="331"/>
      <c r="CO55" s="330"/>
      <c r="CP55" s="331"/>
      <c r="CQ55" s="331"/>
    </row>
    <row r="56" spans="1:95" s="13" customFormat="1" ht="15" customHeight="1" x14ac:dyDescent="0.25">
      <c r="A56" s="58"/>
      <c r="B56" s="58" t="s">
        <v>67</v>
      </c>
      <c r="C56" s="58" t="s">
        <v>67</v>
      </c>
      <c r="D56" s="288" t="s">
        <v>213</v>
      </c>
      <c r="E56" s="289"/>
      <c r="F56" s="326" t="s">
        <v>173</v>
      </c>
      <c r="G56" s="327"/>
      <c r="H56" s="327"/>
      <c r="I56" s="326" t="s">
        <v>173</v>
      </c>
      <c r="J56" s="327"/>
      <c r="K56" s="327"/>
      <c r="L56" s="326" t="s">
        <v>173</v>
      </c>
      <c r="M56" s="327"/>
      <c r="N56" s="327"/>
      <c r="O56" s="326" t="s">
        <v>173</v>
      </c>
      <c r="P56" s="327"/>
      <c r="Q56" s="327"/>
      <c r="R56" s="326" t="s">
        <v>173</v>
      </c>
      <c r="S56" s="327"/>
      <c r="T56" s="327"/>
      <c r="U56" s="326" t="s">
        <v>173</v>
      </c>
      <c r="V56" s="327"/>
      <c r="W56" s="327"/>
      <c r="X56" s="326" t="s">
        <v>173</v>
      </c>
      <c r="Y56" s="327"/>
      <c r="Z56" s="327"/>
      <c r="AA56" s="326" t="s">
        <v>173</v>
      </c>
      <c r="AB56" s="327"/>
      <c r="AC56" s="327"/>
      <c r="AD56" s="326" t="s">
        <v>173</v>
      </c>
      <c r="AE56" s="327"/>
      <c r="AF56" s="327"/>
      <c r="AG56" s="326" t="s">
        <v>173</v>
      </c>
      <c r="AH56" s="327"/>
      <c r="AI56" s="327"/>
      <c r="AJ56" s="326" t="s">
        <v>173</v>
      </c>
      <c r="AK56" s="327"/>
      <c r="AL56" s="327"/>
      <c r="AM56" s="326"/>
      <c r="AN56" s="327"/>
      <c r="AO56" s="327"/>
      <c r="AP56" s="326"/>
      <c r="AQ56" s="327"/>
      <c r="AR56" s="327"/>
      <c r="AS56" s="326"/>
      <c r="AT56" s="327"/>
      <c r="AU56" s="327"/>
      <c r="AV56" s="326"/>
      <c r="AW56" s="327"/>
      <c r="AX56" s="327"/>
      <c r="AY56" s="326"/>
      <c r="AZ56" s="327"/>
      <c r="BA56" s="327"/>
      <c r="BB56" s="326"/>
      <c r="BC56" s="327"/>
      <c r="BD56" s="327"/>
      <c r="BE56" s="326"/>
      <c r="BF56" s="327"/>
      <c r="BG56" s="327"/>
      <c r="BH56" s="326"/>
      <c r="BI56" s="327"/>
      <c r="BJ56" s="327"/>
      <c r="BK56" s="326"/>
      <c r="BL56" s="327"/>
      <c r="BM56" s="327"/>
      <c r="BN56" s="326"/>
      <c r="BO56" s="327"/>
      <c r="BP56" s="327"/>
      <c r="BQ56" s="326"/>
      <c r="BR56" s="327"/>
      <c r="BS56" s="327"/>
      <c r="BT56" s="326"/>
      <c r="BU56" s="327"/>
      <c r="BV56" s="327"/>
      <c r="BW56" s="326"/>
      <c r="BX56" s="327"/>
      <c r="BY56" s="327"/>
      <c r="BZ56" s="326"/>
      <c r="CA56" s="327"/>
      <c r="CB56" s="327"/>
      <c r="CC56" s="326"/>
      <c r="CD56" s="327"/>
      <c r="CE56" s="327"/>
      <c r="CF56" s="326"/>
      <c r="CG56" s="327"/>
      <c r="CH56" s="327"/>
      <c r="CI56" s="326"/>
      <c r="CJ56" s="327"/>
      <c r="CK56" s="327"/>
      <c r="CL56" s="326"/>
      <c r="CM56" s="327"/>
      <c r="CN56" s="327"/>
      <c r="CO56" s="326"/>
      <c r="CP56" s="327"/>
      <c r="CQ56" s="327"/>
    </row>
    <row r="57" spans="1:95" s="1" customFormat="1" ht="18.75" customHeight="1" x14ac:dyDescent="0.25">
      <c r="A57" s="287" t="s">
        <v>214</v>
      </c>
      <c r="B57" s="287"/>
      <c r="C57" s="287"/>
      <c r="D57" s="287"/>
      <c r="E57" s="287"/>
      <c r="F57" s="48">
        <f>IF(SUMMARY!$B$7=TRUE,IF(COUNTBLANK(F58)+COUNTBLANK(F64)+COUNTBLANK(F71)&gt;0,0,1),"")</f>
        <v>1</v>
      </c>
      <c r="G57" s="49"/>
      <c r="H57" s="49"/>
      <c r="I57" s="50">
        <f>IF(SUMMARY!$B$8=TRUE,IF(COUNTBLANK(I58)+COUNTBLANK(I64)+COUNTBLANK(I71)&gt;0,0,1),"")</f>
        <v>1</v>
      </c>
      <c r="J57" s="49"/>
      <c r="K57" s="49"/>
      <c r="L57" s="50">
        <f>IF(SUMMARY!$B$9=TRUE,IF(COUNTBLANK(L58)+COUNTBLANK(L64)+COUNTBLANK(L71)&gt;0,0,1),"")</f>
        <v>1</v>
      </c>
      <c r="M57" s="49"/>
      <c r="N57" s="49"/>
      <c r="O57" s="50">
        <f>IF(SUMMARY!$B$10=TRUE,IF(COUNTBLANK(O58)+COUNTBLANK(O64)+COUNTBLANK(O71)&gt;0,0,1),"")</f>
        <v>1</v>
      </c>
      <c r="P57" s="49"/>
      <c r="Q57" s="49"/>
      <c r="R57" s="50">
        <f>IF(SUMMARY!$B$11=TRUE,IF(COUNTBLANK(R58)+COUNTBLANK(R64)+COUNTBLANK(R71)&gt;0,0,1),"")</f>
        <v>1</v>
      </c>
      <c r="S57" s="49"/>
      <c r="T57" s="49"/>
      <c r="U57" s="50">
        <f>IF(SUMMARY!$B$12=TRUE,IF(COUNTBLANK(U58)+COUNTBLANK(U64)+COUNTBLANK(U71)&gt;0,0,1),"")</f>
        <v>1</v>
      </c>
      <c r="V57" s="49"/>
      <c r="W57" s="49"/>
      <c r="X57" s="50">
        <f>IF(SUMMARY!$B$13=TRUE,IF(COUNTBLANK(X58)+COUNTBLANK(X64)+COUNTBLANK(X71)&gt;0,0,1),"")</f>
        <v>1</v>
      </c>
      <c r="Y57" s="49"/>
      <c r="Z57" s="49"/>
      <c r="AA57" s="50">
        <f>IF(SUMMARY!$B$14=TRUE,IF(COUNTBLANK(AA58)+COUNTBLANK(AA64)+COUNTBLANK(AA71)&gt;0,0,1),"")</f>
        <v>1</v>
      </c>
      <c r="AB57" s="49"/>
      <c r="AC57" s="49"/>
      <c r="AD57" s="50">
        <f>IF(SUMMARY!$B$15=TRUE,IF(COUNTBLANK(AD58)+COUNTBLANK(AD64)+COUNTBLANK(AD71)&gt;0,0,1),"")</f>
        <v>1</v>
      </c>
      <c r="AE57" s="49"/>
      <c r="AF57" s="49"/>
      <c r="AG57" s="50">
        <f>IF(SUMMARY!$B$16=TRUE,IF(COUNTBLANK(AG58)+COUNTBLANK(AG64)+COUNTBLANK(AG71)&gt;0,0,1),"")</f>
        <v>1</v>
      </c>
      <c r="AH57" s="49"/>
      <c r="AI57" s="49"/>
      <c r="AJ57" s="50">
        <f>IF(SUMMARY!$B$17=TRUE,IF(COUNTBLANK(AJ58)+COUNTBLANK(AJ64)+COUNTBLANK(AJ71)&gt;0,0,1),"")</f>
        <v>1</v>
      </c>
      <c r="AK57" s="49"/>
      <c r="AL57" s="49"/>
      <c r="AM57" s="50" t="str">
        <f>IF(SUMMARY!$B$18=TRUE,IF(COUNTBLANK(AM58)+COUNTBLANK(AM64)+COUNTBLANK(AM71)&gt;0,0,1),"")</f>
        <v/>
      </c>
      <c r="AN57" s="49"/>
      <c r="AO57" s="49"/>
      <c r="AP57" s="50" t="str">
        <f>IF(SUMMARY!$B$19=TRUE,IF(COUNTBLANK(AP58)+COUNTBLANK(AP64)+COUNTBLANK(AP71)&gt;0,0,1),"")</f>
        <v/>
      </c>
      <c r="AQ57" s="49"/>
      <c r="AR57" s="49"/>
      <c r="AS57" s="50" t="str">
        <f>IF(SUMMARY!$B$20=TRUE,IF(COUNTBLANK(AS58)+COUNTBLANK(AS64)+COUNTBLANK(AS71)&gt;0,0,1),"")</f>
        <v/>
      </c>
      <c r="AT57" s="49"/>
      <c r="AU57" s="49"/>
      <c r="AV57" s="50" t="str">
        <f>IF(SUMMARY!$B$21=TRUE,IF(COUNTBLANK(AV58)+COUNTBLANK(AV64)+COUNTBLANK(AV71)&gt;0,0,1),"")</f>
        <v/>
      </c>
      <c r="AW57" s="49"/>
      <c r="AX57" s="49"/>
      <c r="AY57" s="50" t="str">
        <f>IF(SUMMARY!$B$22=TRUE,IF(COUNTBLANK(AY58)+COUNTBLANK(AY64)+COUNTBLANK(AY71)&gt;0,0,1),"")</f>
        <v/>
      </c>
      <c r="AZ57" s="49"/>
      <c r="BA57" s="49"/>
      <c r="BB57" s="50" t="str">
        <f>IF(SUMMARY!$B$23=TRUE,IF(COUNTBLANK(BB58)+COUNTBLANK(BB64)+COUNTBLANK(BB71)&gt;0,0,1),"")</f>
        <v/>
      </c>
      <c r="BC57" s="49"/>
      <c r="BD57" s="49"/>
      <c r="BE57" s="50" t="str">
        <f>IF(SUMMARY!$B$24=TRUE,IF(COUNTBLANK(BE58)+COUNTBLANK(BE64)+COUNTBLANK(BE71)&gt;0,0,1),"")</f>
        <v/>
      </c>
      <c r="BF57" s="49"/>
      <c r="BG57" s="49"/>
      <c r="BH57" s="50" t="str">
        <f>IF(SUMMARY!$B$25=TRUE,IF(COUNTBLANK(BH58)+COUNTBLANK(BH64)+COUNTBLANK(BH71)&gt;0,0,1),"")</f>
        <v/>
      </c>
      <c r="BI57" s="49"/>
      <c r="BJ57" s="49"/>
      <c r="BK57" s="50" t="str">
        <f>IF(SUMMARY!$B$26=TRUE,IF(COUNTBLANK(BK58)+COUNTBLANK(BK64)+COUNTBLANK(BK71)&gt;0,0,1),"")</f>
        <v/>
      </c>
      <c r="BL57" s="49"/>
      <c r="BM57" s="49"/>
      <c r="BN57" s="50" t="str">
        <f>IF(SUMMARY!$B$27=TRUE,IF(COUNTBLANK(BN58)+COUNTBLANK(BN64)+COUNTBLANK(BN71)&gt;0,0,1),"")</f>
        <v/>
      </c>
      <c r="BO57" s="49"/>
      <c r="BP57" s="49"/>
      <c r="BQ57" s="50" t="str">
        <f>IF(SUMMARY!$B$28=TRUE,IF(COUNTBLANK(BQ58)+COUNTBLANK(BQ64)+COUNTBLANK(BQ71)&gt;0,0,1),"")</f>
        <v/>
      </c>
      <c r="BR57" s="49"/>
      <c r="BS57" s="49"/>
      <c r="BT57" s="50" t="str">
        <f>IF(SUMMARY!$B$29=TRUE,IF(COUNTBLANK(BT58)+COUNTBLANK(BT64)+COUNTBLANK(BT71)&gt;0,0,1),"")</f>
        <v/>
      </c>
      <c r="BU57" s="49"/>
      <c r="BV57" s="49"/>
      <c r="BW57" s="50" t="str">
        <f>IF(SUMMARY!$B$30=TRUE,IF(COUNTBLANK(BW58)+COUNTBLANK(BW64)+COUNTBLANK(BW71)&gt;0,0,1),"")</f>
        <v/>
      </c>
      <c r="BX57" s="49"/>
      <c r="BY57" s="49"/>
      <c r="BZ57" s="50" t="str">
        <f>IF(SUMMARY!$B$31=TRUE,IF(COUNTBLANK(BZ58)+COUNTBLANK(BZ64)+COUNTBLANK(BZ71)&gt;0,0,1),"")</f>
        <v/>
      </c>
      <c r="CA57" s="49"/>
      <c r="CB57" s="49"/>
      <c r="CC57" s="50" t="str">
        <f>IF(SUMMARY!$B$32=TRUE,IF(COUNTBLANK(CC58)+COUNTBLANK(CC64)+COUNTBLANK(CC71)&gt;0,0,1),"")</f>
        <v/>
      </c>
      <c r="CD57" s="49"/>
      <c r="CE57" s="49"/>
      <c r="CF57" s="50" t="str">
        <f>IF(SUMMARY!$B$33=TRUE,IF(COUNTBLANK(CF58)+COUNTBLANK(CF64)+COUNTBLANK(CF71)&gt;0,0,1),"")</f>
        <v/>
      </c>
      <c r="CG57" s="49"/>
      <c r="CH57" s="49"/>
      <c r="CI57" s="50" t="str">
        <f>IF(SUMMARY!$B$34=TRUE,IF(COUNTBLANK(CI58)+COUNTBLANK(CI64)+COUNTBLANK(CI71)&gt;0,0,1),"")</f>
        <v/>
      </c>
      <c r="CJ57" s="49"/>
      <c r="CK57" s="49"/>
      <c r="CL57" s="50" t="str">
        <f>IF(SUMMARY!$B$35=TRUE,IF(COUNTBLANK(CL58)+COUNTBLANK(CL64)+COUNTBLANK(CL71)&gt;0,0,1),"")</f>
        <v/>
      </c>
      <c r="CM57" s="49"/>
      <c r="CN57" s="49"/>
      <c r="CO57" s="51" t="str">
        <f>IF(SUMMARY!$B$36=TRUE,IF(COUNTBLANK(CO58)+COUNTBLANK(CO64)+COUNTBLANK(CO71)&gt;0,0,1),"")</f>
        <v/>
      </c>
      <c r="CP57" s="49"/>
      <c r="CQ57" s="49"/>
    </row>
    <row r="58" spans="1:95" s="13" customFormat="1" ht="15" customHeight="1" x14ac:dyDescent="0.25">
      <c r="A58" s="69"/>
      <c r="B58" s="69" t="s">
        <v>67</v>
      </c>
      <c r="C58" s="69"/>
      <c r="D58" s="292" t="s">
        <v>215</v>
      </c>
      <c r="E58" s="293"/>
      <c r="F58" s="332" t="str">
        <f>IF(RIGHT(IF(OR(F59="",F60="",F61="",F62=""),"",IF(CONCATENATE(IF(F59="Yes","Calibration plot / ",""),IF(F60="Yes","Slope / ",""),IF(F61="Yes","CITL / ",""),IF(F62="Yes","HL test / ",""),IF(F63="Yes",H63,""))="","Not evaluated",CONCATENATE(IF(F59="Yes","Calibration plot / ",""),IF(F60="Yes","Slope / ",""),IF(F61="Yes","CITL / ",""),IF(F62="Yes","HL test / ",""),IF(F63="Yes",H63,"")))),2)="/ ",LEFT(IF(OR(F59="",F60="",F61="",F62=""),"",IF(CONCATENATE(IF(F59="Yes","Calibration plot / ",""),IF(F60="Yes","Slope / ",""),IF(F61="Yes","CITL / ",""),IF(F62="Yes","HL test / ",""),IF(F63="Yes",H63,""))="","Not evaluated",CONCATENATE(IF(F59="Yes","Calibration plot / ",""),IF(F60="Yes","Slope / ",""),IF(F61="Yes","CITL / ",""),IF(F62="Yes","HL test / ",""),IF(F63="Yes",H63,"")))),LEN(IF(OR(F59="",F60="",F61="",F62=""),"",IF(CONCATENATE(IF(F59="Yes","Calibration plot / ",""),IF(F60="Yes","Slope / ",""),IF(F61="Yes","CITL / ",""),IF(F62="Yes","HL test / ",""),IF(F63="Yes",H63,""))="","Not evaluated",CONCATENATE(IF(F59="Yes","Calibration plot / ",""),IF(F60="Yes","Slope / ",""),IF(F61="Yes","CITL / ",""),IF(F62="Yes","HL test / ",""),IF(F63="Yes",H63,"")))))-2),IF(OR(F59="",F60="",F61="",F62=""),"",IF(CONCATENATE(IF(F59="Yes","Calibration plot / ",""),IF(F60="Yes","Slope / ",""),IF(F61="Yes","CITL / ",""),IF(F62="Yes","HL test / ",""),IF(F63="Yes",H63,""))="","Not evaluated",CONCATENATE(IF(F59="Yes","Calibration plot / ",""),IF(F60="Yes","Slope / ",""),IF(F61="Yes","CITL / ",""),IF(F62="Yes","HL test / ",""),IF(F63="Yes",H63,"")))))</f>
        <v xml:space="preserve">Calibration plot </v>
      </c>
      <c r="G58" s="333"/>
      <c r="H58" s="333"/>
      <c r="I58" s="332" t="str">
        <f>IF(RIGHT(IF(OR(I59="",I60="",I61="",I62=""),"",IF(CONCATENATE(IF(I59="Yes","Calibration plot / ",""),IF(I60="Yes","Slope / ",""),IF(I61="Yes","CITL / ",""),IF(I62="Yes","HL test / ",""),IF(I63="Yes",K63,""))="","Not evaluated",CONCATENATE(IF(I59="Yes","Calibration plot / ",""),IF(I60="Yes","Slope / ",""),IF(I61="Yes","CITL / ",""),IF(I62="Yes","HL test / ",""),IF(I63="Yes",K63,"")))),2)="/ ",LEFT(IF(OR(I59="",I60="",I61="",I62=""),"",IF(CONCATENATE(IF(I59="Yes","Calibration plot / ",""),IF(I60="Yes","Slope / ",""),IF(I61="Yes","CITL / ",""),IF(I62="Yes","HL test / ",""),IF(I63="Yes",K63,""))="","Not evaluated",CONCATENATE(IF(I59="Yes","Calibration plot / ",""),IF(I60="Yes","Slope / ",""),IF(I61="Yes","CITL / ",""),IF(I62="Yes","HL test / ",""),IF(I63="Yes",K63,"")))),LEN(IF(OR(I59="",I60="",I61="",I62=""),"",IF(CONCATENATE(IF(I59="Yes","Calibration plot / ",""),IF(I60="Yes","Slope / ",""),IF(I61="Yes","CITL / ",""),IF(I62="Yes","HL test / ",""),IF(I63="Yes",K63,""))="","Not evaluated",CONCATENATE(IF(I59="Yes","Calibration plot / ",""),IF(I60="Yes","Slope / ",""),IF(I61="Yes","CITL / ",""),IF(I62="Yes","HL test / ",""),IF(I63="Yes",K63,"")))))-2),IF(OR(I59="",I60="",I61="",I62=""),"",IF(CONCATENATE(IF(I59="Yes","Calibration plot / ",""),IF(I60="Yes","Slope / ",""),IF(I61="Yes","CITL / ",""),IF(I62="Yes","HL test / ",""),IF(I63="Yes",K63,""))="","Not evaluated",CONCATENATE(IF(I59="Yes","Calibration plot / ",""),IF(I60="Yes","Slope / ",""),IF(I61="Yes","CITL / ",""),IF(I62="Yes","HL test / ",""),IF(I63="Yes",K63,"")))))</f>
        <v xml:space="preserve">HL test </v>
      </c>
      <c r="J58" s="333"/>
      <c r="K58" s="333"/>
      <c r="L58" s="332" t="str">
        <f>IF(RIGHT(IF(OR(L59="",L60="",L61="",L62=""),"",IF(CONCATENATE(IF(L59="Yes","Calibration plot / ",""),IF(L60="Yes","Slope / ",""),IF(L61="Yes","CITL / ",""),IF(L62="Yes","HL test / ",""),IF(L63="Yes",N63,""))="","Not evaluated",CONCATENATE(IF(L59="Yes","Calibration plot / ",""),IF(L60="Yes","Slope / ",""),IF(L61="Yes","CITL / ",""),IF(L62="Yes","HL test / ",""),IF(L63="Yes",N63,"")))),2)="/ ",LEFT(IF(OR(L59="",L60="",L61="",L62=""),"",IF(CONCATENATE(IF(L59="Yes","Calibration plot / ",""),IF(L60="Yes","Slope / ",""),IF(L61="Yes","CITL / ",""),IF(L62="Yes","HL test / ",""),IF(L63="Yes",N63,""))="","Not evaluated",CONCATENATE(IF(L59="Yes","Calibration plot / ",""),IF(L60="Yes","Slope / ",""),IF(L61="Yes","CITL / ",""),IF(L62="Yes","HL test / ",""),IF(L63="Yes",N63,"")))),LEN(IF(OR(L59="",L60="",L61="",L62=""),"",IF(CONCATENATE(IF(L59="Yes","Calibration plot / ",""),IF(L60="Yes","Slope / ",""),IF(L61="Yes","CITL / ",""),IF(L62="Yes","HL test / ",""),IF(L63="Yes",N63,""))="","Not evaluated",CONCATENATE(IF(L59="Yes","Calibration plot / ",""),IF(L60="Yes","Slope / ",""),IF(L61="Yes","CITL / ",""),IF(L62="Yes","HL test / ",""),IF(L63="Yes",N63,"")))))-2),IF(OR(L59="",L60="",L61="",L62=""),"",IF(CONCATENATE(IF(L59="Yes","Calibration plot / ",""),IF(L60="Yes","Slope / ",""),IF(L61="Yes","CITL / ",""),IF(L62="Yes","HL test / ",""),IF(L63="Yes",N63,""))="","Not evaluated",CONCATENATE(IF(L59="Yes","Calibration plot / ",""),IF(L60="Yes","Slope / ",""),IF(L61="Yes","CITL / ",""),IF(L62="Yes","HL test / ",""),IF(L63="Yes",N63,"")))))</f>
        <v xml:space="preserve">HL test </v>
      </c>
      <c r="M58" s="333"/>
      <c r="N58" s="333"/>
      <c r="O58" s="332" t="str">
        <f>IF(RIGHT(IF(OR(O59="",O60="",O61="",O62=""),"",IF(CONCATENATE(IF(O59="Yes","Calibration plot / ",""),IF(O60="Yes","Slope / ",""),IF(O61="Yes","CITL / ",""),IF(O62="Yes","HL test / ",""),IF(O63="Yes",Q63,""))="","Not evaluated",CONCATENATE(IF(O59="Yes","Calibration plot / ",""),IF(O60="Yes","Slope / ",""),IF(O61="Yes","CITL / ",""),IF(O62="Yes","HL test / ",""),IF(O63="Yes",Q63,"")))),2)="/ ",LEFT(IF(OR(O59="",O60="",O61="",O62=""),"",IF(CONCATENATE(IF(O59="Yes","Calibration plot / ",""),IF(O60="Yes","Slope / ",""),IF(O61="Yes","CITL / ",""),IF(O62="Yes","HL test / ",""),IF(O63="Yes",Q63,""))="","Not evaluated",CONCATENATE(IF(O59="Yes","Calibration plot / ",""),IF(O60="Yes","Slope / ",""),IF(O61="Yes","CITL / ",""),IF(O62="Yes","HL test / ",""),IF(O63="Yes",Q63,"")))),LEN(IF(OR(O59="",O60="",O61="",O62=""),"",IF(CONCATENATE(IF(O59="Yes","Calibration plot / ",""),IF(O60="Yes","Slope / ",""),IF(O61="Yes","CITL / ",""),IF(O62="Yes","HL test / ",""),IF(O63="Yes",Q63,""))="","Not evaluated",CONCATENATE(IF(O59="Yes","Calibration plot / ",""),IF(O60="Yes","Slope / ",""),IF(O61="Yes","CITL / ",""),IF(O62="Yes","HL test / ",""),IF(O63="Yes",Q63,"")))))-2),IF(OR(O59="",O60="",O61="",O62=""),"",IF(CONCATENATE(IF(O59="Yes","Calibration plot / ",""),IF(O60="Yes","Slope / ",""),IF(O61="Yes","CITL / ",""),IF(O62="Yes","HL test / ",""),IF(O63="Yes",Q63,""))="","Not evaluated",CONCATENATE(IF(O59="Yes","Calibration plot / ",""),IF(O60="Yes","Slope / ",""),IF(O61="Yes","CITL / ",""),IF(O62="Yes","HL test / ",""),IF(O63="Yes",Q63,"")))))</f>
        <v xml:space="preserve">Calibration plot / Slope / CITL / HL test </v>
      </c>
      <c r="P58" s="333"/>
      <c r="Q58" s="333"/>
      <c r="R58" s="332" t="str">
        <f>IF(RIGHT(IF(OR(R59="",R60="",R61="",R62=""),"",IF(CONCATENATE(IF(R59="Yes","Calibration plot / ",""),IF(R60="Yes","Slope / ",""),IF(R61="Yes","CITL / ",""),IF(R62="Yes","HL test / ",""),IF(R63="Yes",T63,""))="","Not evaluated",CONCATENATE(IF(R59="Yes","Calibration plot / ",""),IF(R60="Yes","Slope / ",""),IF(R61="Yes","CITL / ",""),IF(R62="Yes","HL test / ",""),IF(R63="Yes",T63,"")))),2)="/ ",LEFT(IF(OR(R59="",R60="",R61="",R62=""),"",IF(CONCATENATE(IF(R59="Yes","Calibration plot / ",""),IF(R60="Yes","Slope / ",""),IF(R61="Yes","CITL / ",""),IF(R62="Yes","HL test / ",""),IF(R63="Yes",T63,""))="","Not evaluated",CONCATENATE(IF(R59="Yes","Calibration plot / ",""),IF(R60="Yes","Slope / ",""),IF(R61="Yes","CITL / ",""),IF(R62="Yes","HL test / ",""),IF(R63="Yes",T63,"")))),LEN(IF(OR(R59="",R60="",R61="",R62=""),"",IF(CONCATENATE(IF(R59="Yes","Calibration plot / ",""),IF(R60="Yes","Slope / ",""),IF(R61="Yes","CITL / ",""),IF(R62="Yes","HL test / ",""),IF(R63="Yes",T63,""))="","Not evaluated",CONCATENATE(IF(R59="Yes","Calibration plot / ",""),IF(R60="Yes","Slope / ",""),IF(R61="Yes","CITL / ",""),IF(R62="Yes","HL test / ",""),IF(R63="Yes",T63,"")))))-2),IF(OR(R59="",R60="",R61="",R62=""),"",IF(CONCATENATE(IF(R59="Yes","Calibration plot / ",""),IF(R60="Yes","Slope / ",""),IF(R61="Yes","CITL / ",""),IF(R62="Yes","HL test / ",""),IF(R63="Yes",T63,""))="","Not evaluated",CONCATENATE(IF(R59="Yes","Calibration plot / ",""),IF(R60="Yes","Slope / ",""),IF(R61="Yes","CITL / ",""),IF(R62="Yes","HL test / ",""),IF(R63="Yes",T63,"")))))</f>
        <v xml:space="preserve">HL test </v>
      </c>
      <c r="S58" s="333"/>
      <c r="T58" s="333"/>
      <c r="U58" s="332" t="str">
        <f>IF(RIGHT(IF(OR(U59="",U60="",U61="",U62=""),"",IF(CONCATENATE(IF(U59="Yes","Calibration plot / ",""),IF(U60="Yes","Slope / ",""),IF(U61="Yes","CITL / ",""),IF(U62="Yes","HL test / ",""),IF(U63="Yes",W63,""))="","Not evaluated",CONCATENATE(IF(U59="Yes","Calibration plot / ",""),IF(U60="Yes","Slope / ",""),IF(U61="Yes","CITL / ",""),IF(U62="Yes","HL test / ",""),IF(U63="Yes",W63,"")))),2)="/ ",LEFT(IF(OR(U59="",U60="",U61="",U62=""),"",IF(CONCATENATE(IF(U59="Yes","Calibration plot / ",""),IF(U60="Yes","Slope / ",""),IF(U61="Yes","CITL / ",""),IF(U62="Yes","HL test / ",""),IF(U63="Yes",W63,""))="","Not evaluated",CONCATENATE(IF(U59="Yes","Calibration plot / ",""),IF(U60="Yes","Slope / ",""),IF(U61="Yes","CITL / ",""),IF(U62="Yes","HL test / ",""),IF(U63="Yes",W63,"")))),LEN(IF(OR(U59="",U60="",U61="",U62=""),"",IF(CONCATENATE(IF(U59="Yes","Calibration plot / ",""),IF(U60="Yes","Slope / ",""),IF(U61="Yes","CITL / ",""),IF(U62="Yes","HL test / ",""),IF(U63="Yes",W63,""))="","Not evaluated",CONCATENATE(IF(U59="Yes","Calibration plot / ",""),IF(U60="Yes","Slope / ",""),IF(U61="Yes","CITL / ",""),IF(U62="Yes","HL test / ",""),IF(U63="Yes",W63,"")))))-2),IF(OR(U59="",U60="",U61="",U62=""),"",IF(CONCATENATE(IF(U59="Yes","Calibration plot / ",""),IF(U60="Yes","Slope / ",""),IF(U61="Yes","CITL / ",""),IF(U62="Yes","HL test / ",""),IF(U63="Yes",W63,""))="","Not evaluated",CONCATENATE(IF(U59="Yes","Calibration plot / ",""),IF(U60="Yes","Slope / ",""),IF(U61="Yes","CITL / ",""),IF(U62="Yes","HL test / ",""),IF(U63="Yes",W63,"")))))</f>
        <v xml:space="preserve">HL test </v>
      </c>
      <c r="V58" s="333"/>
      <c r="W58" s="333"/>
      <c r="X58" s="332" t="str">
        <f>IF(RIGHT(IF(OR(X59="",X60="",X61="",X62=""),"",IF(CONCATENATE(IF(X59="Yes","Calibration plot / ",""),IF(X60="Yes","Slope / ",""),IF(X61="Yes","CITL / ",""),IF(X62="Yes","HL test / ",""),IF(X63="Yes",Z63,""))="","Not evaluated",CONCATENATE(IF(X59="Yes","Calibration plot / ",""),IF(X60="Yes","Slope / ",""),IF(X61="Yes","CITL / ",""),IF(X62="Yes","HL test / ",""),IF(X63="Yes",Z63,"")))),2)="/ ",LEFT(IF(OR(X59="",X60="",X61="",X62=""),"",IF(CONCATENATE(IF(X59="Yes","Calibration plot / ",""),IF(X60="Yes","Slope / ",""),IF(X61="Yes","CITL / ",""),IF(X62="Yes","HL test / ",""),IF(X63="Yes",Z63,""))="","Not evaluated",CONCATENATE(IF(X59="Yes","Calibration plot / ",""),IF(X60="Yes","Slope / ",""),IF(X61="Yes","CITL / ",""),IF(X62="Yes","HL test / ",""),IF(X63="Yes",Z63,"")))),LEN(IF(OR(X59="",X60="",X61="",X62=""),"",IF(CONCATENATE(IF(X59="Yes","Calibration plot / ",""),IF(X60="Yes","Slope / ",""),IF(X61="Yes","CITL / ",""),IF(X62="Yes","HL test / ",""),IF(X63="Yes",Z63,""))="","Not evaluated",CONCATENATE(IF(X59="Yes","Calibration plot / ",""),IF(X60="Yes","Slope / ",""),IF(X61="Yes","CITL / ",""),IF(X62="Yes","HL test / ",""),IF(X63="Yes",Z63,"")))))-2),IF(OR(X59="",X60="",X61="",X62=""),"",IF(CONCATENATE(IF(X59="Yes","Calibration plot / ",""),IF(X60="Yes","Slope / ",""),IF(X61="Yes","CITL / ",""),IF(X62="Yes","HL test / ",""),IF(X63="Yes",Z63,""))="","Not evaluated",CONCATENATE(IF(X59="Yes","Calibration plot / ",""),IF(X60="Yes","Slope / ",""),IF(X61="Yes","CITL / ",""),IF(X62="Yes","HL test / ",""),IF(X63="Yes",Z63,"")))))</f>
        <v>Comparison of actual CITL and slope with the ideal values</v>
      </c>
      <c r="Y58" s="333"/>
      <c r="Z58" s="333"/>
      <c r="AA58" s="332" t="str">
        <f>IF(RIGHT(IF(OR(AA59="",AA60="",AA61="",AA62=""),"",IF(CONCATENATE(IF(AA59="Yes","Calibration plot / ",""),IF(AA60="Yes","Slope / ",""),IF(AA61="Yes","CITL / ",""),IF(AA62="Yes","HL test / ",""),IF(AA63="Yes",AC63,""))="","Not evaluated",CONCATENATE(IF(AA59="Yes","Calibration plot / ",""),IF(AA60="Yes","Slope / ",""),IF(AA61="Yes","CITL / ",""),IF(AA62="Yes","HL test / ",""),IF(AA63="Yes",AC63,"")))),2)="/ ",LEFT(IF(OR(AA59="",AA60="",AA61="",AA62=""),"",IF(CONCATENATE(IF(AA59="Yes","Calibration plot / ",""),IF(AA60="Yes","Slope / ",""),IF(AA61="Yes","CITL / ",""),IF(AA62="Yes","HL test / ",""),IF(AA63="Yes",AC63,""))="","Not evaluated",CONCATENATE(IF(AA59="Yes","Calibration plot / ",""),IF(AA60="Yes","Slope / ",""),IF(AA61="Yes","CITL / ",""),IF(AA62="Yes","HL test / ",""),IF(AA63="Yes",AC63,"")))),LEN(IF(OR(AA59="",AA60="",AA61="",AA62=""),"",IF(CONCATENATE(IF(AA59="Yes","Calibration plot / ",""),IF(AA60="Yes","Slope / ",""),IF(AA61="Yes","CITL / ",""),IF(AA62="Yes","HL test / ",""),IF(AA63="Yes",AC63,""))="","Not evaluated",CONCATENATE(IF(AA59="Yes","Calibration plot / ",""),IF(AA60="Yes","Slope / ",""),IF(AA61="Yes","CITL / ",""),IF(AA62="Yes","HL test / ",""),IF(AA63="Yes",AC63,"")))))-2),IF(OR(AA59="",AA60="",AA61="",AA62=""),"",IF(CONCATENATE(IF(AA59="Yes","Calibration plot / ",""),IF(AA60="Yes","Slope / ",""),IF(AA61="Yes","CITL / ",""),IF(AA62="Yes","HL test / ",""),IF(AA63="Yes",AC63,""))="","Not evaluated",CONCATENATE(IF(AA59="Yes","Calibration plot / ",""),IF(AA60="Yes","Slope / ",""),IF(AA61="Yes","CITL / ",""),IF(AA62="Yes","HL test / ",""),IF(AA63="Yes",AC63,"")))))</f>
        <v xml:space="preserve">HL test </v>
      </c>
      <c r="AB58" s="333"/>
      <c r="AC58" s="333"/>
      <c r="AD58" s="332" t="str">
        <f>IF(RIGHT(IF(OR(AD59="",AD60="",AD61="",AD62=""),"",IF(CONCATENATE(IF(AD59="Yes","Calibration plot / ",""),IF(AD60="Yes","Slope / ",""),IF(AD61="Yes","CITL / ",""),IF(AD62="Yes","HL test / ",""),IF(AD63="Yes",AF63,""))="","Not evaluated",CONCATENATE(IF(AD59="Yes","Calibration plot / ",""),IF(AD60="Yes","Slope / ",""),IF(AD61="Yes","CITL / ",""),IF(AD62="Yes","HL test / ",""),IF(AD63="Yes",AF63,"")))),2)="/ ",LEFT(IF(OR(AD59="",AD60="",AD61="",AD62=""),"",IF(CONCATENATE(IF(AD59="Yes","Calibration plot / ",""),IF(AD60="Yes","Slope / ",""),IF(AD61="Yes","CITL / ",""),IF(AD62="Yes","HL test / ",""),IF(AD63="Yes",AF63,""))="","Not evaluated",CONCATENATE(IF(AD59="Yes","Calibration plot / ",""),IF(AD60="Yes","Slope / ",""),IF(AD61="Yes","CITL / ",""),IF(AD62="Yes","HL test / ",""),IF(AD63="Yes",AF63,"")))),LEN(IF(OR(AD59="",AD60="",AD61="",AD62=""),"",IF(CONCATENATE(IF(AD59="Yes","Calibration plot / ",""),IF(AD60="Yes","Slope / ",""),IF(AD61="Yes","CITL / ",""),IF(AD62="Yes","HL test / ",""),IF(AD63="Yes",AF63,""))="","Not evaluated",CONCATENATE(IF(AD59="Yes","Calibration plot / ",""),IF(AD60="Yes","Slope / ",""),IF(AD61="Yes","CITL / ",""),IF(AD62="Yes","HL test / ",""),IF(AD63="Yes",AF63,"")))))-2),IF(OR(AD59="",AD60="",AD61="",AD62=""),"",IF(CONCATENATE(IF(AD59="Yes","Calibration plot / ",""),IF(AD60="Yes","Slope / ",""),IF(AD61="Yes","CITL / ",""),IF(AD62="Yes","HL test / ",""),IF(AD63="Yes",AF63,""))="","Not evaluated",CONCATENATE(IF(AD59="Yes","Calibration plot / ",""),IF(AD60="Yes","Slope / ",""),IF(AD61="Yes","CITL / ",""),IF(AD62="Yes","HL test / ",""),IF(AD63="Yes",AF63,"")))))</f>
        <v xml:space="preserve">Calibration plot / HL test </v>
      </c>
      <c r="AE58" s="333"/>
      <c r="AF58" s="333"/>
      <c r="AG58" s="332" t="str">
        <f>IF(RIGHT(IF(OR(AG59="",AG60="",AG61="",AG62=""),"",IF(CONCATENATE(IF(AG59="Yes","Calibration plot / ",""),IF(AG60="Yes","Slope / ",""),IF(AG61="Yes","CITL / ",""),IF(AG62="Yes","HL test / ",""),IF(AG63="Yes",AI63,""))="","Not evaluated",CONCATENATE(IF(AG59="Yes","Calibration plot / ",""),IF(AG60="Yes","Slope / ",""),IF(AG61="Yes","CITL / ",""),IF(AG62="Yes","HL test / ",""),IF(AG63="Yes",AI63,"")))),2)="/ ",LEFT(IF(OR(AG59="",AG60="",AG61="",AG62=""),"",IF(CONCATENATE(IF(AG59="Yes","Calibration plot / ",""),IF(AG60="Yes","Slope / ",""),IF(AG61="Yes","CITL / ",""),IF(AG62="Yes","HL test / ",""),IF(AG63="Yes",AI63,""))="","Not evaluated",CONCATENATE(IF(AG59="Yes","Calibration plot / ",""),IF(AG60="Yes","Slope / ",""),IF(AG61="Yes","CITL / ",""),IF(AG62="Yes","HL test / ",""),IF(AG63="Yes",AI63,"")))),LEN(IF(OR(AG59="",AG60="",AG61="",AG62=""),"",IF(CONCATENATE(IF(AG59="Yes","Calibration plot / ",""),IF(AG60="Yes","Slope / ",""),IF(AG61="Yes","CITL / ",""),IF(AG62="Yes","HL test / ",""),IF(AG63="Yes",AI63,""))="","Not evaluated",CONCATENATE(IF(AG59="Yes","Calibration plot / ",""),IF(AG60="Yes","Slope / ",""),IF(AG61="Yes","CITL / ",""),IF(AG62="Yes","HL test / ",""),IF(AG63="Yes",AI63,"")))))-2),IF(OR(AG59="",AG60="",AG61="",AG62=""),"",IF(CONCATENATE(IF(AG59="Yes","Calibration plot / ",""),IF(AG60="Yes","Slope / ",""),IF(AG61="Yes","CITL / ",""),IF(AG62="Yes","HL test / ",""),IF(AG63="Yes",AI63,""))="","Not evaluated",CONCATENATE(IF(AG59="Yes","Calibration plot / ",""),IF(AG60="Yes","Slope / ",""),IF(AG61="Yes","CITL / ",""),IF(AG62="Yes","HL test / ",""),IF(AG63="Yes",AI63,"")))))</f>
        <v xml:space="preserve">Calibration plot / Slope / CITL </v>
      </c>
      <c r="AH58" s="333"/>
      <c r="AI58" s="333"/>
      <c r="AJ58" s="332" t="str">
        <f>IF(RIGHT(IF(OR(AJ59="",AJ60="",AJ61="",AJ62=""),"",IF(CONCATENATE(IF(AJ59="Yes","Calibration plot / ",""),IF(AJ60="Yes","Slope / ",""),IF(AJ61="Yes","CITL / ",""),IF(AJ62="Yes","HL test / ",""),IF(AJ63="Yes",AL63,""))="","Not evaluated",CONCATENATE(IF(AJ59="Yes","Calibration plot / ",""),IF(AJ60="Yes","Slope / ",""),IF(AJ61="Yes","CITL / ",""),IF(AJ62="Yes","HL test / ",""),IF(AJ63="Yes",AL63,"")))),2)="/ ",LEFT(IF(OR(AJ59="",AJ60="",AJ61="",AJ62=""),"",IF(CONCATENATE(IF(AJ59="Yes","Calibration plot / ",""),IF(AJ60="Yes","Slope / ",""),IF(AJ61="Yes","CITL / ",""),IF(AJ62="Yes","HL test / ",""),IF(AJ63="Yes",AL63,""))="","Not evaluated",CONCATENATE(IF(AJ59="Yes","Calibration plot / ",""),IF(AJ60="Yes","Slope / ",""),IF(AJ61="Yes","CITL / ",""),IF(AJ62="Yes","HL test / ",""),IF(AJ63="Yes",AL63,"")))),LEN(IF(OR(AJ59="",AJ60="",AJ61="",AJ62=""),"",IF(CONCATENATE(IF(AJ59="Yes","Calibration plot / ",""),IF(AJ60="Yes","Slope / ",""),IF(AJ61="Yes","CITL / ",""),IF(AJ62="Yes","HL test / ",""),IF(AJ63="Yes",AL63,""))="","Not evaluated",CONCATENATE(IF(AJ59="Yes","Calibration plot / ",""),IF(AJ60="Yes","Slope / ",""),IF(AJ61="Yes","CITL / ",""),IF(AJ62="Yes","HL test / ",""),IF(AJ63="Yes",AL63,"")))))-2),IF(OR(AJ59="",AJ60="",AJ61="",AJ62=""),"",IF(CONCATENATE(IF(AJ59="Yes","Calibration plot / ",""),IF(AJ60="Yes","Slope / ",""),IF(AJ61="Yes","CITL / ",""),IF(AJ62="Yes","HL test / ",""),IF(AJ63="Yes",AL63,""))="","Not evaluated",CONCATENATE(IF(AJ59="Yes","Calibration plot / ",""),IF(AJ60="Yes","Slope / ",""),IF(AJ61="Yes","CITL / ",""),IF(AJ62="Yes","HL test / ",""),IF(AJ63="Yes",AL63,"")))))</f>
        <v xml:space="preserve">Calibration plot / Slope / CITL </v>
      </c>
      <c r="AK58" s="333"/>
      <c r="AL58" s="333"/>
      <c r="AM58" s="332" t="str">
        <f>IF(RIGHT(IF(OR(AM59="",AM60="",AM61="",AM62=""),"",IF(CONCATENATE(IF(AM59="Yes","Calibration plot / ",""),IF(AM60="Yes","Slope / ",""),IF(AM61="Yes","CITL / ",""),IF(AM62="Yes","HL test / ",""),IF(AM63="Yes",AO63,""))="","Not evaluated",CONCATENATE(IF(AM59="Yes","Calibration plot / ",""),IF(AM60="Yes","Slope / ",""),IF(AM61="Yes","CITL / ",""),IF(AM62="Yes","HL test / ",""),IF(AM63="Yes",AO63,"")))),2)="/ ",LEFT(IF(OR(AM59="",AM60="",AM61="",AM62=""),"",IF(CONCATENATE(IF(AM59="Yes","Calibration plot / ",""),IF(AM60="Yes","Slope / ",""),IF(AM61="Yes","CITL / ",""),IF(AM62="Yes","HL test / ",""),IF(AM63="Yes",AO63,""))="","Not evaluated",CONCATENATE(IF(AM59="Yes","Calibration plot / ",""),IF(AM60="Yes","Slope / ",""),IF(AM61="Yes","CITL / ",""),IF(AM62="Yes","HL test / ",""),IF(AM63="Yes",AO63,"")))),LEN(IF(OR(AM59="",AM60="",AM61="",AM62=""),"",IF(CONCATENATE(IF(AM59="Yes","Calibration plot / ",""),IF(AM60="Yes","Slope / ",""),IF(AM61="Yes","CITL / ",""),IF(AM62="Yes","HL test / ",""),IF(AM63="Yes",AO63,""))="","Not evaluated",CONCATENATE(IF(AM59="Yes","Calibration plot / ",""),IF(AM60="Yes","Slope / ",""),IF(AM61="Yes","CITL / ",""),IF(AM62="Yes","HL test / ",""),IF(AM63="Yes",AO63,"")))))-2),IF(OR(AM59="",AM60="",AM61="",AM62=""),"",IF(CONCATENATE(IF(AM59="Yes","Calibration plot / ",""),IF(AM60="Yes","Slope / ",""),IF(AM61="Yes","CITL / ",""),IF(AM62="Yes","HL test / ",""),IF(AM63="Yes",AO63,""))="","Not evaluated",CONCATENATE(IF(AM59="Yes","Calibration plot / ",""),IF(AM60="Yes","Slope / ",""),IF(AM61="Yes","CITL / ",""),IF(AM62="Yes","HL test / ",""),IF(AM63="Yes",AO63,"")))))</f>
        <v/>
      </c>
      <c r="AN58" s="333"/>
      <c r="AO58" s="333"/>
      <c r="AP58" s="332" t="str">
        <f>IF(RIGHT(IF(OR(AP59="",AP60="",AP61="",AP62=""),"",IF(CONCATENATE(IF(AP59="Yes","Calibration plot / ",""),IF(AP60="Yes","Slope / ",""),IF(AP61="Yes","CITL / ",""),IF(AP62="Yes","HL test / ",""),IF(AP63="Yes",AR63,""))="","Not evaluated",CONCATENATE(IF(AP59="Yes","Calibration plot / ",""),IF(AP60="Yes","Slope / ",""),IF(AP61="Yes","CITL / ",""),IF(AP62="Yes","HL test / ",""),IF(AP63="Yes",AR63,"")))),2)="/ ",LEFT(IF(OR(AP59="",AP60="",AP61="",AP62=""),"",IF(CONCATENATE(IF(AP59="Yes","Calibration plot / ",""),IF(AP60="Yes","Slope / ",""),IF(AP61="Yes","CITL / ",""),IF(AP62="Yes","HL test / ",""),IF(AP63="Yes",AR63,""))="","Not evaluated",CONCATENATE(IF(AP59="Yes","Calibration plot / ",""),IF(AP60="Yes","Slope / ",""),IF(AP61="Yes","CITL / ",""),IF(AP62="Yes","HL test / ",""),IF(AP63="Yes",AR63,"")))),LEN(IF(OR(AP59="",AP60="",AP61="",AP62=""),"",IF(CONCATENATE(IF(AP59="Yes","Calibration plot / ",""),IF(AP60="Yes","Slope / ",""),IF(AP61="Yes","CITL / ",""),IF(AP62="Yes","HL test / ",""),IF(AP63="Yes",AR63,""))="","Not evaluated",CONCATENATE(IF(AP59="Yes","Calibration plot / ",""),IF(AP60="Yes","Slope / ",""),IF(AP61="Yes","CITL / ",""),IF(AP62="Yes","HL test / ",""),IF(AP63="Yes",AR63,"")))))-2),IF(OR(AP59="",AP60="",AP61="",AP62=""),"",IF(CONCATENATE(IF(AP59="Yes","Calibration plot / ",""),IF(AP60="Yes","Slope / ",""),IF(AP61="Yes","CITL / ",""),IF(AP62="Yes","HL test / ",""),IF(AP63="Yes",AR63,""))="","Not evaluated",CONCATENATE(IF(AP59="Yes","Calibration plot / ",""),IF(AP60="Yes","Slope / ",""),IF(AP61="Yes","CITL / ",""),IF(AP62="Yes","HL test / ",""),IF(AP63="Yes",AR63,"")))))</f>
        <v/>
      </c>
      <c r="AQ58" s="333"/>
      <c r="AR58" s="333"/>
      <c r="AS58" s="332" t="str">
        <f>IF(RIGHT(IF(OR(AS59="",AS60="",AS61="",AS62=""),"",IF(CONCATENATE(IF(AS59="Yes","Calibration plot / ",""),IF(AS60="Yes","Slope / ",""),IF(AS61="Yes","CITL / ",""),IF(AS62="Yes","HL test / ",""),IF(AS63="Yes",AU63,""))="","Not evaluated",CONCATENATE(IF(AS59="Yes","Calibration plot / ",""),IF(AS60="Yes","Slope / ",""),IF(AS61="Yes","CITL / ",""),IF(AS62="Yes","HL test / ",""),IF(AS63="Yes",AU63,"")))),2)="/ ",LEFT(IF(OR(AS59="",AS60="",AS61="",AS62=""),"",IF(CONCATENATE(IF(AS59="Yes","Calibration plot / ",""),IF(AS60="Yes","Slope / ",""),IF(AS61="Yes","CITL / ",""),IF(AS62="Yes","HL test / ",""),IF(AS63="Yes",AU63,""))="","Not evaluated",CONCATENATE(IF(AS59="Yes","Calibration plot / ",""),IF(AS60="Yes","Slope / ",""),IF(AS61="Yes","CITL / ",""),IF(AS62="Yes","HL test / ",""),IF(AS63="Yes",AU63,"")))),LEN(IF(OR(AS59="",AS60="",AS61="",AS62=""),"",IF(CONCATENATE(IF(AS59="Yes","Calibration plot / ",""),IF(AS60="Yes","Slope / ",""),IF(AS61="Yes","CITL / ",""),IF(AS62="Yes","HL test / ",""),IF(AS63="Yes",AU63,""))="","Not evaluated",CONCATENATE(IF(AS59="Yes","Calibration plot / ",""),IF(AS60="Yes","Slope / ",""),IF(AS61="Yes","CITL / ",""),IF(AS62="Yes","HL test / ",""),IF(AS63="Yes",AU63,"")))))-2),IF(OR(AS59="",AS60="",AS61="",AS62=""),"",IF(CONCATENATE(IF(AS59="Yes","Calibration plot / ",""),IF(AS60="Yes","Slope / ",""),IF(AS61="Yes","CITL / ",""),IF(AS62="Yes","HL test / ",""),IF(AS63="Yes",AU63,""))="","Not evaluated",CONCATENATE(IF(AS59="Yes","Calibration plot / ",""),IF(AS60="Yes","Slope / ",""),IF(AS61="Yes","CITL / ",""),IF(AS62="Yes","HL test / ",""),IF(AS63="Yes",AU63,"")))))</f>
        <v/>
      </c>
      <c r="AT58" s="333"/>
      <c r="AU58" s="333"/>
      <c r="AV58" s="332" t="str">
        <f>IF(RIGHT(IF(OR(AV59="",AV60="",AV61="",AV62=""),"",IF(CONCATENATE(IF(AV59="Yes","Calibration plot / ",""),IF(AV60="Yes","Slope / ",""),IF(AV61="Yes","CITL / ",""),IF(AV62="Yes","HL test / ",""),IF(AV63="Yes",AX63,""))="","Not evaluated",CONCATENATE(IF(AV59="Yes","Calibration plot / ",""),IF(AV60="Yes","Slope / ",""),IF(AV61="Yes","CITL / ",""),IF(AV62="Yes","HL test / ",""),IF(AV63="Yes",AX63,"")))),2)="/ ",LEFT(IF(OR(AV59="",AV60="",AV61="",AV62=""),"",IF(CONCATENATE(IF(AV59="Yes","Calibration plot / ",""),IF(AV60="Yes","Slope / ",""),IF(AV61="Yes","CITL / ",""),IF(AV62="Yes","HL test / ",""),IF(AV63="Yes",AX63,""))="","Not evaluated",CONCATENATE(IF(AV59="Yes","Calibration plot / ",""),IF(AV60="Yes","Slope / ",""),IF(AV61="Yes","CITL / ",""),IF(AV62="Yes","HL test / ",""),IF(AV63="Yes",AX63,"")))),LEN(IF(OR(AV59="",AV60="",AV61="",AV62=""),"",IF(CONCATENATE(IF(AV59="Yes","Calibration plot / ",""),IF(AV60="Yes","Slope / ",""),IF(AV61="Yes","CITL / ",""),IF(AV62="Yes","HL test / ",""),IF(AV63="Yes",AX63,""))="","Not evaluated",CONCATENATE(IF(AV59="Yes","Calibration plot / ",""),IF(AV60="Yes","Slope / ",""),IF(AV61="Yes","CITL / ",""),IF(AV62="Yes","HL test / ",""),IF(AV63="Yes",AX63,"")))))-2),IF(OR(AV59="",AV60="",AV61="",AV62=""),"",IF(CONCATENATE(IF(AV59="Yes","Calibration plot / ",""),IF(AV60="Yes","Slope / ",""),IF(AV61="Yes","CITL / ",""),IF(AV62="Yes","HL test / ",""),IF(AV63="Yes",AX63,""))="","Not evaluated",CONCATENATE(IF(AV59="Yes","Calibration plot / ",""),IF(AV60="Yes","Slope / ",""),IF(AV61="Yes","CITL / ",""),IF(AV62="Yes","HL test / ",""),IF(AV63="Yes",AX63,"")))))</f>
        <v/>
      </c>
      <c r="AW58" s="333"/>
      <c r="AX58" s="333"/>
      <c r="AY58" s="332" t="str">
        <f>IF(RIGHT(IF(OR(AY59="",AY60="",AY61="",AY62=""),"",IF(CONCATENATE(IF(AY59="Yes","Calibration plot / ",""),IF(AY60="Yes","Slope / ",""),IF(AY61="Yes","CITL / ",""),IF(AY62="Yes","HL test / ",""),IF(AY63="Yes",BA63,""))="","Not evaluated",CONCATENATE(IF(AY59="Yes","Calibration plot / ",""),IF(AY60="Yes","Slope / ",""),IF(AY61="Yes","CITL / ",""),IF(AY62="Yes","HL test / ",""),IF(AY63="Yes",BA63,"")))),2)="/ ",LEFT(IF(OR(AY59="",AY60="",AY61="",AY62=""),"",IF(CONCATENATE(IF(AY59="Yes","Calibration plot / ",""),IF(AY60="Yes","Slope / ",""),IF(AY61="Yes","CITL / ",""),IF(AY62="Yes","HL test / ",""),IF(AY63="Yes",BA63,""))="","Not evaluated",CONCATENATE(IF(AY59="Yes","Calibration plot / ",""),IF(AY60="Yes","Slope / ",""),IF(AY61="Yes","CITL / ",""),IF(AY62="Yes","HL test / ",""),IF(AY63="Yes",BA63,"")))),LEN(IF(OR(AY59="",AY60="",AY61="",AY62=""),"",IF(CONCATENATE(IF(AY59="Yes","Calibration plot / ",""),IF(AY60="Yes","Slope / ",""),IF(AY61="Yes","CITL / ",""),IF(AY62="Yes","HL test / ",""),IF(AY63="Yes",BA63,""))="","Not evaluated",CONCATENATE(IF(AY59="Yes","Calibration plot / ",""),IF(AY60="Yes","Slope / ",""),IF(AY61="Yes","CITL / ",""),IF(AY62="Yes","HL test / ",""),IF(AY63="Yes",BA63,"")))))-2),IF(OR(AY59="",AY60="",AY61="",AY62=""),"",IF(CONCATENATE(IF(AY59="Yes","Calibration plot / ",""),IF(AY60="Yes","Slope / ",""),IF(AY61="Yes","CITL / ",""),IF(AY62="Yes","HL test / ",""),IF(AY63="Yes",BA63,""))="","Not evaluated",CONCATENATE(IF(AY59="Yes","Calibration plot / ",""),IF(AY60="Yes","Slope / ",""),IF(AY61="Yes","CITL / ",""),IF(AY62="Yes","HL test / ",""),IF(AY63="Yes",BA63,"")))))</f>
        <v/>
      </c>
      <c r="AZ58" s="333"/>
      <c r="BA58" s="333"/>
      <c r="BB58" s="332" t="str">
        <f>IF(RIGHT(IF(OR(BB59="",BB60="",BB61="",BB62=""),"",IF(CONCATENATE(IF(BB59="Yes","Calibration plot / ",""),IF(BB60="Yes","Slope / ",""),IF(BB61="Yes","CITL / ",""),IF(BB62="Yes","HL test / ",""),IF(BB63="Yes",BD63,""))="","Not evaluated",CONCATENATE(IF(BB59="Yes","Calibration plot / ",""),IF(BB60="Yes","Slope / ",""),IF(BB61="Yes","CITL / ",""),IF(BB62="Yes","HL test / ",""),IF(BB63="Yes",BD63,"")))),2)="/ ",LEFT(IF(OR(BB59="",BB60="",BB61="",BB62=""),"",IF(CONCATENATE(IF(BB59="Yes","Calibration plot / ",""),IF(BB60="Yes","Slope / ",""),IF(BB61="Yes","CITL / ",""),IF(BB62="Yes","HL test / ",""),IF(BB63="Yes",BD63,""))="","Not evaluated",CONCATENATE(IF(BB59="Yes","Calibration plot / ",""),IF(BB60="Yes","Slope / ",""),IF(BB61="Yes","CITL / ",""),IF(BB62="Yes","HL test / ",""),IF(BB63="Yes",BD63,"")))),LEN(IF(OR(BB59="",BB60="",BB61="",BB62=""),"",IF(CONCATENATE(IF(BB59="Yes","Calibration plot / ",""),IF(BB60="Yes","Slope / ",""),IF(BB61="Yes","CITL / ",""),IF(BB62="Yes","HL test / ",""),IF(BB63="Yes",BD63,""))="","Not evaluated",CONCATENATE(IF(BB59="Yes","Calibration plot / ",""),IF(BB60="Yes","Slope / ",""),IF(BB61="Yes","CITL / ",""),IF(BB62="Yes","HL test / ",""),IF(BB63="Yes",BD63,"")))))-2),IF(OR(BB59="",BB60="",BB61="",BB62=""),"",IF(CONCATENATE(IF(BB59="Yes","Calibration plot / ",""),IF(BB60="Yes","Slope / ",""),IF(BB61="Yes","CITL / ",""),IF(BB62="Yes","HL test / ",""),IF(BB63="Yes",BD63,""))="","Not evaluated",CONCATENATE(IF(BB59="Yes","Calibration plot / ",""),IF(BB60="Yes","Slope / ",""),IF(BB61="Yes","CITL / ",""),IF(BB62="Yes","HL test / ",""),IF(BB63="Yes",BD63,"")))))</f>
        <v/>
      </c>
      <c r="BC58" s="333"/>
      <c r="BD58" s="333"/>
      <c r="BE58" s="332" t="str">
        <f>IF(RIGHT(IF(OR(BE59="",BE60="",BE61="",BE62=""),"",IF(CONCATENATE(IF(BE59="Yes","Calibration plot / ",""),IF(BE60="Yes","Slope / ",""),IF(BE61="Yes","CITL / ",""),IF(BE62="Yes","HL test / ",""),IF(BE63="Yes",BG63,""))="","Not evaluated",CONCATENATE(IF(BE59="Yes","Calibration plot / ",""),IF(BE60="Yes","Slope / ",""),IF(BE61="Yes","CITL / ",""),IF(BE62="Yes","HL test / ",""),IF(BE63="Yes",BG63,"")))),2)="/ ",LEFT(IF(OR(BE59="",BE60="",BE61="",BE62=""),"",IF(CONCATENATE(IF(BE59="Yes","Calibration plot / ",""),IF(BE60="Yes","Slope / ",""),IF(BE61="Yes","CITL / ",""),IF(BE62="Yes","HL test / ",""),IF(BE63="Yes",BG63,""))="","Not evaluated",CONCATENATE(IF(BE59="Yes","Calibration plot / ",""),IF(BE60="Yes","Slope / ",""),IF(BE61="Yes","CITL / ",""),IF(BE62="Yes","HL test / ",""),IF(BE63="Yes",BG63,"")))),LEN(IF(OR(BE59="",BE60="",BE61="",BE62=""),"",IF(CONCATENATE(IF(BE59="Yes","Calibration plot / ",""),IF(BE60="Yes","Slope / ",""),IF(BE61="Yes","CITL / ",""),IF(BE62="Yes","HL test / ",""),IF(BE63="Yes",BG63,""))="","Not evaluated",CONCATENATE(IF(BE59="Yes","Calibration plot / ",""),IF(BE60="Yes","Slope / ",""),IF(BE61="Yes","CITL / ",""),IF(BE62="Yes","HL test / ",""),IF(BE63="Yes",BG63,"")))))-2),IF(OR(BE59="",BE60="",BE61="",BE62=""),"",IF(CONCATENATE(IF(BE59="Yes","Calibration plot / ",""),IF(BE60="Yes","Slope / ",""),IF(BE61="Yes","CITL / ",""),IF(BE62="Yes","HL test / ",""),IF(BE63="Yes",BG63,""))="","Not evaluated",CONCATENATE(IF(BE59="Yes","Calibration plot / ",""),IF(BE60="Yes","Slope / ",""),IF(BE61="Yes","CITL / ",""),IF(BE62="Yes","HL test / ",""),IF(BE63="Yes",BG63,"")))))</f>
        <v/>
      </c>
      <c r="BF58" s="333"/>
      <c r="BG58" s="333"/>
      <c r="BH58" s="332" t="str">
        <f>IF(RIGHT(IF(OR(BH59="",BH60="",BH61="",BH62=""),"",IF(CONCATENATE(IF(BH59="Yes","Calibration plot / ",""),IF(BH60="Yes","Slope / ",""),IF(BH61="Yes","CITL / ",""),IF(BH62="Yes","HL test / ",""),IF(BH63="Yes",BJ63,""))="","Not evaluated",CONCATENATE(IF(BH59="Yes","Calibration plot / ",""),IF(BH60="Yes","Slope / ",""),IF(BH61="Yes","CITL / ",""),IF(BH62="Yes","HL test / ",""),IF(BH63="Yes",BJ63,"")))),2)="/ ",LEFT(IF(OR(BH59="",BH60="",BH61="",BH62=""),"",IF(CONCATENATE(IF(BH59="Yes","Calibration plot / ",""),IF(BH60="Yes","Slope / ",""),IF(BH61="Yes","CITL / ",""),IF(BH62="Yes","HL test / ",""),IF(BH63="Yes",BJ63,""))="","Not evaluated",CONCATENATE(IF(BH59="Yes","Calibration plot / ",""),IF(BH60="Yes","Slope / ",""),IF(BH61="Yes","CITL / ",""),IF(BH62="Yes","HL test / ",""),IF(BH63="Yes",BJ63,"")))),LEN(IF(OR(BH59="",BH60="",BH61="",BH62=""),"",IF(CONCATENATE(IF(BH59="Yes","Calibration plot / ",""),IF(BH60="Yes","Slope / ",""),IF(BH61="Yes","CITL / ",""),IF(BH62="Yes","HL test / ",""),IF(BH63="Yes",BJ63,""))="","Not evaluated",CONCATENATE(IF(BH59="Yes","Calibration plot / ",""),IF(BH60="Yes","Slope / ",""),IF(BH61="Yes","CITL / ",""),IF(BH62="Yes","HL test / ",""),IF(BH63="Yes",BJ63,"")))))-2),IF(OR(BH59="",BH60="",BH61="",BH62=""),"",IF(CONCATENATE(IF(BH59="Yes","Calibration plot / ",""),IF(BH60="Yes","Slope / ",""),IF(BH61="Yes","CITL / ",""),IF(BH62="Yes","HL test / ",""),IF(BH63="Yes",BJ63,""))="","Not evaluated",CONCATENATE(IF(BH59="Yes","Calibration plot / ",""),IF(BH60="Yes","Slope / ",""),IF(BH61="Yes","CITL / ",""),IF(BH62="Yes","HL test / ",""),IF(BH63="Yes",BJ63,"")))))</f>
        <v/>
      </c>
      <c r="BI58" s="333"/>
      <c r="BJ58" s="333"/>
      <c r="BK58" s="332" t="str">
        <f>IF(RIGHT(IF(OR(BK59="",BK60="",BK61="",BK62=""),"",IF(CONCATENATE(IF(BK59="Yes","Calibration plot / ",""),IF(BK60="Yes","Slope / ",""),IF(BK61="Yes","CITL / ",""),IF(BK62="Yes","HL test / ",""),IF(BK63="Yes",BM63,""))="","Not evaluated",CONCATENATE(IF(BK59="Yes","Calibration plot / ",""),IF(BK60="Yes","Slope / ",""),IF(BK61="Yes","CITL / ",""),IF(BK62="Yes","HL test / ",""),IF(BK63="Yes",BM63,"")))),2)="/ ",LEFT(IF(OR(BK59="",BK60="",BK61="",BK62=""),"",IF(CONCATENATE(IF(BK59="Yes","Calibration plot / ",""),IF(BK60="Yes","Slope / ",""),IF(BK61="Yes","CITL / ",""),IF(BK62="Yes","HL test / ",""),IF(BK63="Yes",BM63,""))="","Not evaluated",CONCATENATE(IF(BK59="Yes","Calibration plot / ",""),IF(BK60="Yes","Slope / ",""),IF(BK61="Yes","CITL / ",""),IF(BK62="Yes","HL test / ",""),IF(BK63="Yes",BM63,"")))),LEN(IF(OR(BK59="",BK60="",BK61="",BK62=""),"",IF(CONCATENATE(IF(BK59="Yes","Calibration plot / ",""),IF(BK60="Yes","Slope / ",""),IF(BK61="Yes","CITL / ",""),IF(BK62="Yes","HL test / ",""),IF(BK63="Yes",BM63,""))="","Not evaluated",CONCATENATE(IF(BK59="Yes","Calibration plot / ",""),IF(BK60="Yes","Slope / ",""),IF(BK61="Yes","CITL / ",""),IF(BK62="Yes","HL test / ",""),IF(BK63="Yes",BM63,"")))))-2),IF(OR(BK59="",BK60="",BK61="",BK62=""),"",IF(CONCATENATE(IF(BK59="Yes","Calibration plot / ",""),IF(BK60="Yes","Slope / ",""),IF(BK61="Yes","CITL / ",""),IF(BK62="Yes","HL test / ",""),IF(BK63="Yes",BM63,""))="","Not evaluated",CONCATENATE(IF(BK59="Yes","Calibration plot / ",""),IF(BK60="Yes","Slope / ",""),IF(BK61="Yes","CITL / ",""),IF(BK62="Yes","HL test / ",""),IF(BK63="Yes",BM63,"")))))</f>
        <v/>
      </c>
      <c r="BL58" s="333"/>
      <c r="BM58" s="333"/>
      <c r="BN58" s="332" t="str">
        <f>IF(RIGHT(IF(OR(BN59="",BN60="",BN61="",BN62=""),"",IF(CONCATENATE(IF(BN59="Yes","Calibration plot / ",""),IF(BN60="Yes","Slope / ",""),IF(BN61="Yes","CITL / ",""),IF(BN62="Yes","HL test / ",""),IF(BN63="Yes",BP63,""))="","Not evaluated",CONCATENATE(IF(BN59="Yes","Calibration plot / ",""),IF(BN60="Yes","Slope / ",""),IF(BN61="Yes","CITL / ",""),IF(BN62="Yes","HL test / ",""),IF(BN63="Yes",BP63,"")))),2)="/ ",LEFT(IF(OR(BN59="",BN60="",BN61="",BN62=""),"",IF(CONCATENATE(IF(BN59="Yes","Calibration plot / ",""),IF(BN60="Yes","Slope / ",""),IF(BN61="Yes","CITL / ",""),IF(BN62="Yes","HL test / ",""),IF(BN63="Yes",BP63,""))="","Not evaluated",CONCATENATE(IF(BN59="Yes","Calibration plot / ",""),IF(BN60="Yes","Slope / ",""),IF(BN61="Yes","CITL / ",""),IF(BN62="Yes","HL test / ",""),IF(BN63="Yes",BP63,"")))),LEN(IF(OR(BN59="",BN60="",BN61="",BN62=""),"",IF(CONCATENATE(IF(BN59="Yes","Calibration plot / ",""),IF(BN60="Yes","Slope / ",""),IF(BN61="Yes","CITL / ",""),IF(BN62="Yes","HL test / ",""),IF(BN63="Yes",BP63,""))="","Not evaluated",CONCATENATE(IF(BN59="Yes","Calibration plot / ",""),IF(BN60="Yes","Slope / ",""),IF(BN61="Yes","CITL / ",""),IF(BN62="Yes","HL test / ",""),IF(BN63="Yes",BP63,"")))))-2),IF(OR(BN59="",BN60="",BN61="",BN62=""),"",IF(CONCATENATE(IF(BN59="Yes","Calibration plot / ",""),IF(BN60="Yes","Slope / ",""),IF(BN61="Yes","CITL / ",""),IF(BN62="Yes","HL test / ",""),IF(BN63="Yes",BP63,""))="","Not evaluated",CONCATENATE(IF(BN59="Yes","Calibration plot / ",""),IF(BN60="Yes","Slope / ",""),IF(BN61="Yes","CITL / ",""),IF(BN62="Yes","HL test / ",""),IF(BN63="Yes",BP63,"")))))</f>
        <v/>
      </c>
      <c r="BO58" s="333"/>
      <c r="BP58" s="333"/>
      <c r="BQ58" s="332" t="str">
        <f>IF(RIGHT(IF(OR(BQ59="",BQ60="",BQ61="",BQ62=""),"",IF(CONCATENATE(IF(BQ59="Yes","Calibration plot / ",""),IF(BQ60="Yes","Slope / ",""),IF(BQ61="Yes","CITL / ",""),IF(BQ62="Yes","HL test / ",""),IF(BQ63="Yes",BS63,""))="","Not evaluated",CONCATENATE(IF(BQ59="Yes","Calibration plot / ",""),IF(BQ60="Yes","Slope / ",""),IF(BQ61="Yes","CITL / ",""),IF(BQ62="Yes","HL test / ",""),IF(BQ63="Yes",BS63,"")))),2)="/ ",LEFT(IF(OR(BQ59="",BQ60="",BQ61="",BQ62=""),"",IF(CONCATENATE(IF(BQ59="Yes","Calibration plot / ",""),IF(BQ60="Yes","Slope / ",""),IF(BQ61="Yes","CITL / ",""),IF(BQ62="Yes","HL test / ",""),IF(BQ63="Yes",BS63,""))="","Not evaluated",CONCATENATE(IF(BQ59="Yes","Calibration plot / ",""),IF(BQ60="Yes","Slope / ",""),IF(BQ61="Yes","CITL / ",""),IF(BQ62="Yes","HL test / ",""),IF(BQ63="Yes",BS63,"")))),LEN(IF(OR(BQ59="",BQ60="",BQ61="",BQ62=""),"",IF(CONCATENATE(IF(BQ59="Yes","Calibration plot / ",""),IF(BQ60="Yes","Slope / ",""),IF(BQ61="Yes","CITL / ",""),IF(BQ62="Yes","HL test / ",""),IF(BQ63="Yes",BS63,""))="","Not evaluated",CONCATENATE(IF(BQ59="Yes","Calibration plot / ",""),IF(BQ60="Yes","Slope / ",""),IF(BQ61="Yes","CITL / ",""),IF(BQ62="Yes","HL test / ",""),IF(BQ63="Yes",BS63,"")))))-2),IF(OR(BQ59="",BQ60="",BQ61="",BQ62=""),"",IF(CONCATENATE(IF(BQ59="Yes","Calibration plot / ",""),IF(BQ60="Yes","Slope / ",""),IF(BQ61="Yes","CITL / ",""),IF(BQ62="Yes","HL test / ",""),IF(BQ63="Yes",BS63,""))="","Not evaluated",CONCATENATE(IF(BQ59="Yes","Calibration plot / ",""),IF(BQ60="Yes","Slope / ",""),IF(BQ61="Yes","CITL / ",""),IF(BQ62="Yes","HL test / ",""),IF(BQ63="Yes",BS63,"")))))</f>
        <v/>
      </c>
      <c r="BR58" s="333"/>
      <c r="BS58" s="333"/>
      <c r="BT58" s="332" t="str">
        <f>IF(RIGHT(IF(OR(BT59="",BT60="",BT61="",BT62=""),"",IF(CONCATENATE(IF(BT59="Yes","Calibration plot / ",""),IF(BT60="Yes","Slope / ",""),IF(BT61="Yes","CITL / ",""),IF(BT62="Yes","HL test / ",""),IF(BT63="Yes",BV63,""))="","Not evaluated",CONCATENATE(IF(BT59="Yes","Calibration plot / ",""),IF(BT60="Yes","Slope / ",""),IF(BT61="Yes","CITL / ",""),IF(BT62="Yes","HL test / ",""),IF(BT63="Yes",BV63,"")))),2)="/ ",LEFT(IF(OR(BT59="",BT60="",BT61="",BT62=""),"",IF(CONCATENATE(IF(BT59="Yes","Calibration plot / ",""),IF(BT60="Yes","Slope / ",""),IF(BT61="Yes","CITL / ",""),IF(BT62="Yes","HL test / ",""),IF(BT63="Yes",BV63,""))="","Not evaluated",CONCATENATE(IF(BT59="Yes","Calibration plot / ",""),IF(BT60="Yes","Slope / ",""),IF(BT61="Yes","CITL / ",""),IF(BT62="Yes","HL test / ",""),IF(BT63="Yes",BV63,"")))),LEN(IF(OR(BT59="",BT60="",BT61="",BT62=""),"",IF(CONCATENATE(IF(BT59="Yes","Calibration plot / ",""),IF(BT60="Yes","Slope / ",""),IF(BT61="Yes","CITL / ",""),IF(BT62="Yes","HL test / ",""),IF(BT63="Yes",BV63,""))="","Not evaluated",CONCATENATE(IF(BT59="Yes","Calibration plot / ",""),IF(BT60="Yes","Slope / ",""),IF(BT61="Yes","CITL / ",""),IF(BT62="Yes","HL test / ",""),IF(BT63="Yes",BV63,"")))))-2),IF(OR(BT59="",BT60="",BT61="",BT62=""),"",IF(CONCATENATE(IF(BT59="Yes","Calibration plot / ",""),IF(BT60="Yes","Slope / ",""),IF(BT61="Yes","CITL / ",""),IF(BT62="Yes","HL test / ",""),IF(BT63="Yes",BV63,""))="","Not evaluated",CONCATENATE(IF(BT59="Yes","Calibration plot / ",""),IF(BT60="Yes","Slope / ",""),IF(BT61="Yes","CITL / ",""),IF(BT62="Yes","HL test / ",""),IF(BT63="Yes",BV63,"")))))</f>
        <v/>
      </c>
      <c r="BU58" s="333"/>
      <c r="BV58" s="333"/>
      <c r="BW58" s="332" t="str">
        <f>IF(RIGHT(IF(OR(BW59="",BW60="",BW61="",BW62=""),"",IF(CONCATENATE(IF(BW59="Yes","Calibration plot / ",""),IF(BW60="Yes","Slope / ",""),IF(BW61="Yes","CITL / ",""),IF(BW62="Yes","HL test / ",""),IF(BW63="Yes",BY63,""))="","Not evaluated",CONCATENATE(IF(BW59="Yes","Calibration plot / ",""),IF(BW60="Yes","Slope / ",""),IF(BW61="Yes","CITL / ",""),IF(BW62="Yes","HL test / ",""),IF(BW63="Yes",BY63,"")))),2)="/ ",LEFT(IF(OR(BW59="",BW60="",BW61="",BW62=""),"",IF(CONCATENATE(IF(BW59="Yes","Calibration plot / ",""),IF(BW60="Yes","Slope / ",""),IF(BW61="Yes","CITL / ",""),IF(BW62="Yes","HL test / ",""),IF(BW63="Yes",BY63,""))="","Not evaluated",CONCATENATE(IF(BW59="Yes","Calibration plot / ",""),IF(BW60="Yes","Slope / ",""),IF(BW61="Yes","CITL / ",""),IF(BW62="Yes","HL test / ",""),IF(BW63="Yes",BY63,"")))),LEN(IF(OR(BW59="",BW60="",BW61="",BW62=""),"",IF(CONCATENATE(IF(BW59="Yes","Calibration plot / ",""),IF(BW60="Yes","Slope / ",""),IF(BW61="Yes","CITL / ",""),IF(BW62="Yes","HL test / ",""),IF(BW63="Yes",BY63,""))="","Not evaluated",CONCATENATE(IF(BW59="Yes","Calibration plot / ",""),IF(BW60="Yes","Slope / ",""),IF(BW61="Yes","CITL / ",""),IF(BW62="Yes","HL test / ",""),IF(BW63="Yes",BY63,"")))))-2),IF(OR(BW59="",BW60="",BW61="",BW62=""),"",IF(CONCATENATE(IF(BW59="Yes","Calibration plot / ",""),IF(BW60="Yes","Slope / ",""),IF(BW61="Yes","CITL / ",""),IF(BW62="Yes","HL test / ",""),IF(BW63="Yes",BY63,""))="","Not evaluated",CONCATENATE(IF(BW59="Yes","Calibration plot / ",""),IF(BW60="Yes","Slope / ",""),IF(BW61="Yes","CITL / ",""),IF(BW62="Yes","HL test / ",""),IF(BW63="Yes",BY63,"")))))</f>
        <v/>
      </c>
      <c r="BX58" s="333"/>
      <c r="BY58" s="333"/>
      <c r="BZ58" s="332" t="str">
        <f>IF(RIGHT(IF(OR(BZ59="",BZ60="",BZ61="",BZ62=""),"",IF(CONCATENATE(IF(BZ59="Yes","Calibration plot / ",""),IF(BZ60="Yes","Slope / ",""),IF(BZ61="Yes","CITL / ",""),IF(BZ62="Yes","HL test / ",""),IF(BZ63="Yes",CB63,""))="","Not evaluated",CONCATENATE(IF(BZ59="Yes","Calibration plot / ",""),IF(BZ60="Yes","Slope / ",""),IF(BZ61="Yes","CITL / ",""),IF(BZ62="Yes","HL test / ",""),IF(BZ63="Yes",CB63,"")))),2)="/ ",LEFT(IF(OR(BZ59="",BZ60="",BZ61="",BZ62=""),"",IF(CONCATENATE(IF(BZ59="Yes","Calibration plot / ",""),IF(BZ60="Yes","Slope / ",""),IF(BZ61="Yes","CITL / ",""),IF(BZ62="Yes","HL test / ",""),IF(BZ63="Yes",CB63,""))="","Not evaluated",CONCATENATE(IF(BZ59="Yes","Calibration plot / ",""),IF(BZ60="Yes","Slope / ",""),IF(BZ61="Yes","CITL / ",""),IF(BZ62="Yes","HL test / ",""),IF(BZ63="Yes",CB63,"")))),LEN(IF(OR(BZ59="",BZ60="",BZ61="",BZ62=""),"",IF(CONCATENATE(IF(BZ59="Yes","Calibration plot / ",""),IF(BZ60="Yes","Slope / ",""),IF(BZ61="Yes","CITL / ",""),IF(BZ62="Yes","HL test / ",""),IF(BZ63="Yes",CB63,""))="","Not evaluated",CONCATENATE(IF(BZ59="Yes","Calibration plot / ",""),IF(BZ60="Yes","Slope / ",""),IF(BZ61="Yes","CITL / ",""),IF(BZ62="Yes","HL test / ",""),IF(BZ63="Yes",CB63,"")))))-2),IF(OR(BZ59="",BZ60="",BZ61="",BZ62=""),"",IF(CONCATENATE(IF(BZ59="Yes","Calibration plot / ",""),IF(BZ60="Yes","Slope / ",""),IF(BZ61="Yes","CITL / ",""),IF(BZ62="Yes","HL test / ",""),IF(BZ63="Yes",CB63,""))="","Not evaluated",CONCATENATE(IF(BZ59="Yes","Calibration plot / ",""),IF(BZ60="Yes","Slope / ",""),IF(BZ61="Yes","CITL / ",""),IF(BZ62="Yes","HL test / ",""),IF(BZ63="Yes",CB63,"")))))</f>
        <v/>
      </c>
      <c r="CA58" s="333"/>
      <c r="CB58" s="333"/>
      <c r="CC58" s="332" t="str">
        <f>IF(RIGHT(IF(OR(CC59="",CC60="",CC61="",CC62=""),"",IF(CONCATENATE(IF(CC59="Yes","Calibration plot / ",""),IF(CC60="Yes","Slope / ",""),IF(CC61="Yes","CITL / ",""),IF(CC62="Yes","HL test / ",""),IF(CC63="Yes",CE63,""))="","Not evaluated",CONCATENATE(IF(CC59="Yes","Calibration plot / ",""),IF(CC60="Yes","Slope / ",""),IF(CC61="Yes","CITL / ",""),IF(CC62="Yes","HL test / ",""),IF(CC63="Yes",CE63,"")))),2)="/ ",LEFT(IF(OR(CC59="",CC60="",CC61="",CC62=""),"",IF(CONCATENATE(IF(CC59="Yes","Calibration plot / ",""),IF(CC60="Yes","Slope / ",""),IF(CC61="Yes","CITL / ",""),IF(CC62="Yes","HL test / ",""),IF(CC63="Yes",CE63,""))="","Not evaluated",CONCATENATE(IF(CC59="Yes","Calibration plot / ",""),IF(CC60="Yes","Slope / ",""),IF(CC61="Yes","CITL / ",""),IF(CC62="Yes","HL test / ",""),IF(CC63="Yes",CE63,"")))),LEN(IF(OR(CC59="",CC60="",CC61="",CC62=""),"",IF(CONCATENATE(IF(CC59="Yes","Calibration plot / ",""),IF(CC60="Yes","Slope / ",""),IF(CC61="Yes","CITL / ",""),IF(CC62="Yes","HL test / ",""),IF(CC63="Yes",CE63,""))="","Not evaluated",CONCATENATE(IF(CC59="Yes","Calibration plot / ",""),IF(CC60="Yes","Slope / ",""),IF(CC61="Yes","CITL / ",""),IF(CC62="Yes","HL test / ",""),IF(CC63="Yes",CE63,"")))))-2),IF(OR(CC59="",CC60="",CC61="",CC62=""),"",IF(CONCATENATE(IF(CC59="Yes","Calibration plot / ",""),IF(CC60="Yes","Slope / ",""),IF(CC61="Yes","CITL / ",""),IF(CC62="Yes","HL test / ",""),IF(CC63="Yes",CE63,""))="","Not evaluated",CONCATENATE(IF(CC59="Yes","Calibration plot / ",""),IF(CC60="Yes","Slope / ",""),IF(CC61="Yes","CITL / ",""),IF(CC62="Yes","HL test / ",""),IF(CC63="Yes",CE63,"")))))</f>
        <v/>
      </c>
      <c r="CD58" s="333"/>
      <c r="CE58" s="333"/>
      <c r="CF58" s="332" t="str">
        <f>IF(RIGHT(IF(OR(CF59="",CF60="",CF61="",CF62=""),"",IF(CONCATENATE(IF(CF59="Yes","Calibration plot / ",""),IF(CF60="Yes","Slope / ",""),IF(CF61="Yes","CITL / ",""),IF(CF62="Yes","HL test / ",""),IF(CF63="Yes",CH63,""))="","Not evaluated",CONCATENATE(IF(CF59="Yes","Calibration plot / ",""),IF(CF60="Yes","Slope / ",""),IF(CF61="Yes","CITL / ",""),IF(CF62="Yes","HL test / ",""),IF(CF63="Yes",CH63,"")))),2)="/ ",LEFT(IF(OR(CF59="",CF60="",CF61="",CF62=""),"",IF(CONCATENATE(IF(CF59="Yes","Calibration plot / ",""),IF(CF60="Yes","Slope / ",""),IF(CF61="Yes","CITL / ",""),IF(CF62="Yes","HL test / ",""),IF(CF63="Yes",CH63,""))="","Not evaluated",CONCATENATE(IF(CF59="Yes","Calibration plot / ",""),IF(CF60="Yes","Slope / ",""),IF(CF61="Yes","CITL / ",""),IF(CF62="Yes","HL test / ",""),IF(CF63="Yes",CH63,"")))),LEN(IF(OR(CF59="",CF60="",CF61="",CF62=""),"",IF(CONCATENATE(IF(CF59="Yes","Calibration plot / ",""),IF(CF60="Yes","Slope / ",""),IF(CF61="Yes","CITL / ",""),IF(CF62="Yes","HL test / ",""),IF(CF63="Yes",CH63,""))="","Not evaluated",CONCATENATE(IF(CF59="Yes","Calibration plot / ",""),IF(CF60="Yes","Slope / ",""),IF(CF61="Yes","CITL / ",""),IF(CF62="Yes","HL test / ",""),IF(CF63="Yes",CH63,"")))))-2),IF(OR(CF59="",CF60="",CF61="",CF62=""),"",IF(CONCATENATE(IF(CF59="Yes","Calibration plot / ",""),IF(CF60="Yes","Slope / ",""),IF(CF61="Yes","CITL / ",""),IF(CF62="Yes","HL test / ",""),IF(CF63="Yes",CH63,""))="","Not evaluated",CONCATENATE(IF(CF59="Yes","Calibration plot / ",""),IF(CF60="Yes","Slope / ",""),IF(CF61="Yes","CITL / ",""),IF(CF62="Yes","HL test / ",""),IF(CF63="Yes",CH63,"")))))</f>
        <v/>
      </c>
      <c r="CG58" s="333"/>
      <c r="CH58" s="333"/>
      <c r="CI58" s="332" t="str">
        <f>IF(RIGHT(IF(OR(CI59="",CI60="",CI61="",CI62=""),"",IF(CONCATENATE(IF(CI59="Yes","Calibration plot / ",""),IF(CI60="Yes","Slope / ",""),IF(CI61="Yes","CITL / ",""),IF(CI62="Yes","HL test / ",""),IF(CI63="Yes",CK63,""))="","Not evaluated",CONCATENATE(IF(CI59="Yes","Calibration plot / ",""),IF(CI60="Yes","Slope / ",""),IF(CI61="Yes","CITL / ",""),IF(CI62="Yes","HL test / ",""),IF(CI63="Yes",CK63,"")))),2)="/ ",LEFT(IF(OR(CI59="",CI60="",CI61="",CI62=""),"",IF(CONCATENATE(IF(CI59="Yes","Calibration plot / ",""),IF(CI60="Yes","Slope / ",""),IF(CI61="Yes","CITL / ",""),IF(CI62="Yes","HL test / ",""),IF(CI63="Yes",CK63,""))="","Not evaluated",CONCATENATE(IF(CI59="Yes","Calibration plot / ",""),IF(CI60="Yes","Slope / ",""),IF(CI61="Yes","CITL / ",""),IF(CI62="Yes","HL test / ",""),IF(CI63="Yes",CK63,"")))),LEN(IF(OR(CI59="",CI60="",CI61="",CI62=""),"",IF(CONCATENATE(IF(CI59="Yes","Calibration plot / ",""),IF(CI60="Yes","Slope / ",""),IF(CI61="Yes","CITL / ",""),IF(CI62="Yes","HL test / ",""),IF(CI63="Yes",CK63,""))="","Not evaluated",CONCATENATE(IF(CI59="Yes","Calibration plot / ",""),IF(CI60="Yes","Slope / ",""),IF(CI61="Yes","CITL / ",""),IF(CI62="Yes","HL test / ",""),IF(CI63="Yes",CK63,"")))))-2),IF(OR(CI59="",CI60="",CI61="",CI62=""),"",IF(CONCATENATE(IF(CI59="Yes","Calibration plot / ",""),IF(CI60="Yes","Slope / ",""),IF(CI61="Yes","CITL / ",""),IF(CI62="Yes","HL test / ",""),IF(CI63="Yes",CK63,""))="","Not evaluated",CONCATENATE(IF(CI59="Yes","Calibration plot / ",""),IF(CI60="Yes","Slope / ",""),IF(CI61="Yes","CITL / ",""),IF(CI62="Yes","HL test / ",""),IF(CI63="Yes",CK63,"")))))</f>
        <v/>
      </c>
      <c r="CJ58" s="333"/>
      <c r="CK58" s="333"/>
      <c r="CL58" s="332" t="str">
        <f>IF(RIGHT(IF(OR(CL59="",CL60="",CL61="",CL62=""),"",IF(CONCATENATE(IF(CL59="Yes","Calibration plot / ",""),IF(CL60="Yes","Slope / ",""),IF(CL61="Yes","CITL / ",""),IF(CL62="Yes","HL test / ",""),IF(CL63="Yes",CN63,""))="","Not evaluated",CONCATENATE(IF(CL59="Yes","Calibration plot / ",""),IF(CL60="Yes","Slope / ",""),IF(CL61="Yes","CITL / ",""),IF(CL62="Yes","HL test / ",""),IF(CL63="Yes",CN63,"")))),2)="/ ",LEFT(IF(OR(CL59="",CL60="",CL61="",CL62=""),"",IF(CONCATENATE(IF(CL59="Yes","Calibration plot / ",""),IF(CL60="Yes","Slope / ",""),IF(CL61="Yes","CITL / ",""),IF(CL62="Yes","HL test / ",""),IF(CL63="Yes",CN63,""))="","Not evaluated",CONCATENATE(IF(CL59="Yes","Calibration plot / ",""),IF(CL60="Yes","Slope / ",""),IF(CL61="Yes","CITL / ",""),IF(CL62="Yes","HL test / ",""),IF(CL63="Yes",CN63,"")))),LEN(IF(OR(CL59="",CL60="",CL61="",CL62=""),"",IF(CONCATENATE(IF(CL59="Yes","Calibration plot / ",""),IF(CL60="Yes","Slope / ",""),IF(CL61="Yes","CITL / ",""),IF(CL62="Yes","HL test / ",""),IF(CL63="Yes",CN63,""))="","Not evaluated",CONCATENATE(IF(CL59="Yes","Calibration plot / ",""),IF(CL60="Yes","Slope / ",""),IF(CL61="Yes","CITL / ",""),IF(CL62="Yes","HL test / ",""),IF(CL63="Yes",CN63,"")))))-2),IF(OR(CL59="",CL60="",CL61="",CL62=""),"",IF(CONCATENATE(IF(CL59="Yes","Calibration plot / ",""),IF(CL60="Yes","Slope / ",""),IF(CL61="Yes","CITL / ",""),IF(CL62="Yes","HL test / ",""),IF(CL63="Yes",CN63,""))="","Not evaluated",CONCATENATE(IF(CL59="Yes","Calibration plot / ",""),IF(CL60="Yes","Slope / ",""),IF(CL61="Yes","CITL / ",""),IF(CL62="Yes","HL test / ",""),IF(CL63="Yes",CN63,"")))))</f>
        <v/>
      </c>
      <c r="CM58" s="333"/>
      <c r="CN58" s="333"/>
      <c r="CO58" s="332" t="str">
        <f>IF(RIGHT(IF(OR(CO59="",CO60="",CO61="",CO62=""),"",IF(CONCATENATE(IF(CO59="Yes","Calibration plot / ",""),IF(CO60="Yes","Slope / ",""),IF(CO61="Yes","CITL / ",""),IF(CO62="Yes","HL test / ",""),IF(CO63="Yes",CQ63,""))="","Not evaluated",CONCATENATE(IF(CO59="Yes","Calibration plot / ",""),IF(CO60="Yes","Slope / ",""),IF(CO61="Yes","CITL / ",""),IF(CO62="Yes","HL test / ",""),IF(CO63="Yes",CQ63,"")))),2)="/ ",LEFT(IF(OR(CO59="",CO60="",CO61="",CO62=""),"",IF(CONCATENATE(IF(CO59="Yes","Calibration plot / ",""),IF(CO60="Yes","Slope / ",""),IF(CO61="Yes","CITL / ",""),IF(CO62="Yes","HL test / ",""),IF(CO63="Yes",CQ63,""))="","Not evaluated",CONCATENATE(IF(CO59="Yes","Calibration plot / ",""),IF(CO60="Yes","Slope / ",""),IF(CO61="Yes","CITL / ",""),IF(CO62="Yes","HL test / ",""),IF(CO63="Yes",CQ63,"")))),LEN(IF(OR(CO59="",CO60="",CO61="",CO62=""),"",IF(CONCATENATE(IF(CO59="Yes","Calibration plot / ",""),IF(CO60="Yes","Slope / ",""),IF(CO61="Yes","CITL / ",""),IF(CO62="Yes","HL test / ",""),IF(CO63="Yes",CQ63,""))="","Not evaluated",CONCATENATE(IF(CO59="Yes","Calibration plot / ",""),IF(CO60="Yes","Slope / ",""),IF(CO61="Yes","CITL / ",""),IF(CO62="Yes","HL test / ",""),IF(CO63="Yes",CQ63,"")))))-2),IF(OR(CO59="",CO60="",CO61="",CO62=""),"",IF(CONCATENATE(IF(CO59="Yes","Calibration plot / ",""),IF(CO60="Yes","Slope / ",""),IF(CO61="Yes","CITL / ",""),IF(CO62="Yes","HL test / ",""),IF(CO63="Yes",CQ63,""))="","Not evaluated",CONCATENATE(IF(CO59="Yes","Calibration plot / ",""),IF(CO60="Yes","Slope / ",""),IF(CO61="Yes","CITL / ",""),IF(CO62="Yes","HL test / ",""),IF(CO63="Yes",CQ63,"")))))</f>
        <v/>
      </c>
      <c r="CP58" s="333"/>
      <c r="CQ58" s="333"/>
    </row>
    <row r="59" spans="1:95" s="13" customFormat="1" ht="15" customHeight="1" x14ac:dyDescent="0.25">
      <c r="A59" s="62"/>
      <c r="B59" s="62" t="s">
        <v>67</v>
      </c>
      <c r="C59" s="62"/>
      <c r="D59" s="274" t="s">
        <v>216</v>
      </c>
      <c r="E59" s="298"/>
      <c r="F59" s="330" t="s">
        <v>168</v>
      </c>
      <c r="G59" s="331"/>
      <c r="H59" s="331"/>
      <c r="I59" s="334" t="s">
        <v>173</v>
      </c>
      <c r="J59" s="335"/>
      <c r="K59" s="350"/>
      <c r="L59" s="334" t="s">
        <v>173</v>
      </c>
      <c r="M59" s="335"/>
      <c r="N59" s="350"/>
      <c r="O59" s="334" t="s">
        <v>168</v>
      </c>
      <c r="P59" s="335"/>
      <c r="Q59" s="350"/>
      <c r="R59" s="334" t="s">
        <v>173</v>
      </c>
      <c r="S59" s="335"/>
      <c r="T59" s="350"/>
      <c r="U59" s="334" t="s">
        <v>173</v>
      </c>
      <c r="V59" s="335"/>
      <c r="W59" s="350"/>
      <c r="X59" s="334" t="s">
        <v>173</v>
      </c>
      <c r="Y59" s="335"/>
      <c r="Z59" s="350"/>
      <c r="AA59" s="334" t="s">
        <v>173</v>
      </c>
      <c r="AB59" s="335"/>
      <c r="AC59" s="350"/>
      <c r="AD59" s="334" t="s">
        <v>168</v>
      </c>
      <c r="AE59" s="335"/>
      <c r="AF59" s="350"/>
      <c r="AG59" s="334" t="s">
        <v>168</v>
      </c>
      <c r="AH59" s="335"/>
      <c r="AI59" s="350"/>
      <c r="AJ59" s="334" t="s">
        <v>168</v>
      </c>
      <c r="AK59" s="335"/>
      <c r="AL59" s="350"/>
      <c r="AM59" s="334"/>
      <c r="AN59" s="335"/>
      <c r="AO59" s="350"/>
      <c r="AP59" s="334"/>
      <c r="AQ59" s="335"/>
      <c r="AR59" s="350"/>
      <c r="AS59" s="334"/>
      <c r="AT59" s="335"/>
      <c r="AU59" s="350"/>
      <c r="AV59" s="334"/>
      <c r="AW59" s="335"/>
      <c r="AX59" s="350"/>
      <c r="AY59" s="334"/>
      <c r="AZ59" s="335"/>
      <c r="BA59" s="350"/>
      <c r="BB59" s="334"/>
      <c r="BC59" s="335"/>
      <c r="BD59" s="350"/>
      <c r="BE59" s="334"/>
      <c r="BF59" s="335"/>
      <c r="BG59" s="350"/>
      <c r="BH59" s="334"/>
      <c r="BI59" s="335"/>
      <c r="BJ59" s="350"/>
      <c r="BK59" s="334"/>
      <c r="BL59" s="335"/>
      <c r="BM59" s="350"/>
      <c r="BN59" s="334"/>
      <c r="BO59" s="335"/>
      <c r="BP59" s="350"/>
      <c r="BQ59" s="334"/>
      <c r="BR59" s="335"/>
      <c r="BS59" s="350"/>
      <c r="BT59" s="334"/>
      <c r="BU59" s="335"/>
      <c r="BV59" s="350"/>
      <c r="BW59" s="334"/>
      <c r="BX59" s="335"/>
      <c r="BY59" s="350"/>
      <c r="BZ59" s="334"/>
      <c r="CA59" s="335"/>
      <c r="CB59" s="350"/>
      <c r="CC59" s="334"/>
      <c r="CD59" s="335"/>
      <c r="CE59" s="350"/>
      <c r="CF59" s="334"/>
      <c r="CG59" s="335"/>
      <c r="CH59" s="350"/>
      <c r="CI59" s="334"/>
      <c r="CJ59" s="335"/>
      <c r="CK59" s="350"/>
      <c r="CL59" s="334"/>
      <c r="CM59" s="335"/>
      <c r="CN59" s="350"/>
      <c r="CO59" s="334"/>
      <c r="CP59" s="335"/>
      <c r="CQ59" s="335"/>
    </row>
    <row r="60" spans="1:95" s="13" customFormat="1" ht="15" customHeight="1" x14ac:dyDescent="0.25">
      <c r="A60" s="62"/>
      <c r="B60" s="62" t="s">
        <v>67</v>
      </c>
      <c r="C60" s="62"/>
      <c r="D60" s="274" t="s">
        <v>217</v>
      </c>
      <c r="E60" s="275"/>
      <c r="F60" s="38" t="s">
        <v>173</v>
      </c>
      <c r="G60" s="52" t="s">
        <v>218</v>
      </c>
      <c r="H60" s="46"/>
      <c r="I60" s="38" t="s">
        <v>173</v>
      </c>
      <c r="J60" s="52" t="s">
        <v>218</v>
      </c>
      <c r="K60" s="46"/>
      <c r="L60" s="38" t="s">
        <v>173</v>
      </c>
      <c r="M60" s="52" t="s">
        <v>218</v>
      </c>
      <c r="N60" s="46"/>
      <c r="O60" s="38" t="s">
        <v>168</v>
      </c>
      <c r="P60" s="52" t="s">
        <v>218</v>
      </c>
      <c r="Q60" s="46">
        <v>0.8</v>
      </c>
      <c r="R60" s="38" t="s">
        <v>173</v>
      </c>
      <c r="S60" s="52" t="s">
        <v>218</v>
      </c>
      <c r="T60" s="46"/>
      <c r="U60" s="38" t="s">
        <v>173</v>
      </c>
      <c r="V60" s="52" t="s">
        <v>218</v>
      </c>
      <c r="W60" s="46"/>
      <c r="X60" s="38" t="s">
        <v>173</v>
      </c>
      <c r="Y60" s="52" t="s">
        <v>218</v>
      </c>
      <c r="Z60" s="46"/>
      <c r="AA60" s="38" t="s">
        <v>173</v>
      </c>
      <c r="AB60" s="52" t="s">
        <v>218</v>
      </c>
      <c r="AC60" s="46"/>
      <c r="AD60" s="38" t="s">
        <v>173</v>
      </c>
      <c r="AE60" s="52" t="s">
        <v>218</v>
      </c>
      <c r="AF60" s="46"/>
      <c r="AG60" s="38" t="s">
        <v>168</v>
      </c>
      <c r="AH60" s="52" t="s">
        <v>218</v>
      </c>
      <c r="AI60" s="46" t="s">
        <v>219</v>
      </c>
      <c r="AJ60" s="38" t="s">
        <v>168</v>
      </c>
      <c r="AK60" s="52" t="s">
        <v>218</v>
      </c>
      <c r="AL60" s="46" t="s">
        <v>220</v>
      </c>
      <c r="AM60" s="38"/>
      <c r="AN60" s="52" t="s">
        <v>218</v>
      </c>
      <c r="AO60" s="46"/>
      <c r="AP60" s="38"/>
      <c r="AQ60" s="52" t="s">
        <v>218</v>
      </c>
      <c r="AR60" s="46"/>
      <c r="AS60" s="38"/>
      <c r="AT60" s="52" t="s">
        <v>218</v>
      </c>
      <c r="AU60" s="46"/>
      <c r="AV60" s="38"/>
      <c r="AW60" s="52" t="s">
        <v>218</v>
      </c>
      <c r="AX60" s="46"/>
      <c r="AY60" s="38"/>
      <c r="AZ60" s="52" t="s">
        <v>218</v>
      </c>
      <c r="BA60" s="46"/>
      <c r="BB60" s="38"/>
      <c r="BC60" s="52" t="s">
        <v>218</v>
      </c>
      <c r="BD60" s="46"/>
      <c r="BE60" s="38"/>
      <c r="BF60" s="52" t="s">
        <v>218</v>
      </c>
      <c r="BG60" s="46"/>
      <c r="BH60" s="38"/>
      <c r="BI60" s="52" t="s">
        <v>218</v>
      </c>
      <c r="BJ60" s="46"/>
      <c r="BK60" s="38"/>
      <c r="BL60" s="52" t="s">
        <v>218</v>
      </c>
      <c r="BM60" s="46"/>
      <c r="BN60" s="38"/>
      <c r="BO60" s="52" t="s">
        <v>218</v>
      </c>
      <c r="BP60" s="46"/>
      <c r="BQ60" s="38"/>
      <c r="BR60" s="52" t="s">
        <v>218</v>
      </c>
      <c r="BS60" s="46"/>
      <c r="BT60" s="38"/>
      <c r="BU60" s="52" t="s">
        <v>218</v>
      </c>
      <c r="BV60" s="46"/>
      <c r="BW60" s="38"/>
      <c r="BX60" s="52" t="s">
        <v>218</v>
      </c>
      <c r="BY60" s="46"/>
      <c r="BZ60" s="38"/>
      <c r="CA60" s="52" t="s">
        <v>218</v>
      </c>
      <c r="CB60" s="46"/>
      <c r="CC60" s="38"/>
      <c r="CD60" s="52" t="s">
        <v>218</v>
      </c>
      <c r="CE60" s="46"/>
      <c r="CF60" s="38"/>
      <c r="CG60" s="52" t="s">
        <v>218</v>
      </c>
      <c r="CH60" s="46"/>
      <c r="CI60" s="38"/>
      <c r="CJ60" s="52" t="s">
        <v>218</v>
      </c>
      <c r="CK60" s="46"/>
      <c r="CL60" s="38"/>
      <c r="CM60" s="52" t="s">
        <v>218</v>
      </c>
      <c r="CN60" s="46"/>
      <c r="CO60" s="37"/>
      <c r="CP60" s="52" t="s">
        <v>218</v>
      </c>
      <c r="CQ60" s="46"/>
    </row>
    <row r="61" spans="1:95" s="13" customFormat="1" ht="15" customHeight="1" x14ac:dyDescent="0.25">
      <c r="A61" s="62"/>
      <c r="B61" s="62" t="s">
        <v>67</v>
      </c>
      <c r="C61" s="62"/>
      <c r="D61" s="296" t="s">
        <v>221</v>
      </c>
      <c r="E61" s="297"/>
      <c r="F61" s="38" t="s">
        <v>173</v>
      </c>
      <c r="G61" s="52" t="s">
        <v>218</v>
      </c>
      <c r="H61" s="46"/>
      <c r="I61" s="38" t="s">
        <v>173</v>
      </c>
      <c r="J61" s="52" t="s">
        <v>218</v>
      </c>
      <c r="K61" s="46"/>
      <c r="L61" s="38" t="s">
        <v>173</v>
      </c>
      <c r="M61" s="52" t="s">
        <v>218</v>
      </c>
      <c r="N61" s="46"/>
      <c r="O61" s="38" t="s">
        <v>168</v>
      </c>
      <c r="P61" s="52" t="s">
        <v>218</v>
      </c>
      <c r="Q61" s="46">
        <v>1.9</v>
      </c>
      <c r="R61" s="38" t="s">
        <v>173</v>
      </c>
      <c r="S61" s="52" t="s">
        <v>218</v>
      </c>
      <c r="T61" s="46"/>
      <c r="U61" s="38" t="s">
        <v>173</v>
      </c>
      <c r="V61" s="52" t="s">
        <v>218</v>
      </c>
      <c r="W61" s="46"/>
      <c r="X61" s="38" t="s">
        <v>173</v>
      </c>
      <c r="Y61" s="52" t="s">
        <v>218</v>
      </c>
      <c r="Z61" s="46"/>
      <c r="AA61" s="38" t="s">
        <v>173</v>
      </c>
      <c r="AB61" s="52" t="s">
        <v>218</v>
      </c>
      <c r="AC61" s="46"/>
      <c r="AD61" s="38" t="s">
        <v>173</v>
      </c>
      <c r="AE61" s="52" t="s">
        <v>218</v>
      </c>
      <c r="AF61" s="46"/>
      <c r="AG61" s="38" t="s">
        <v>168</v>
      </c>
      <c r="AH61" s="52" t="s">
        <v>218</v>
      </c>
      <c r="AI61" s="184" t="s">
        <v>222</v>
      </c>
      <c r="AJ61" s="38" t="s">
        <v>168</v>
      </c>
      <c r="AK61" s="52" t="s">
        <v>218</v>
      </c>
      <c r="AL61" s="184" t="s">
        <v>223</v>
      </c>
      <c r="AM61" s="38"/>
      <c r="AN61" s="52" t="s">
        <v>218</v>
      </c>
      <c r="AO61" s="46"/>
      <c r="AP61" s="38"/>
      <c r="AQ61" s="52" t="s">
        <v>218</v>
      </c>
      <c r="AR61" s="46"/>
      <c r="AS61" s="38"/>
      <c r="AT61" s="52" t="s">
        <v>218</v>
      </c>
      <c r="AU61" s="46"/>
      <c r="AV61" s="38"/>
      <c r="AW61" s="52" t="s">
        <v>218</v>
      </c>
      <c r="AX61" s="46"/>
      <c r="AY61" s="38"/>
      <c r="AZ61" s="52" t="s">
        <v>218</v>
      </c>
      <c r="BA61" s="46"/>
      <c r="BB61" s="38"/>
      <c r="BC61" s="52" t="s">
        <v>218</v>
      </c>
      <c r="BD61" s="46"/>
      <c r="BE61" s="38"/>
      <c r="BF61" s="52" t="s">
        <v>218</v>
      </c>
      <c r="BG61" s="46"/>
      <c r="BH61" s="38"/>
      <c r="BI61" s="52" t="s">
        <v>218</v>
      </c>
      <c r="BJ61" s="46"/>
      <c r="BK61" s="38"/>
      <c r="BL61" s="52" t="s">
        <v>218</v>
      </c>
      <c r="BM61" s="46"/>
      <c r="BN61" s="38"/>
      <c r="BO61" s="52" t="s">
        <v>218</v>
      </c>
      <c r="BP61" s="46"/>
      <c r="BQ61" s="38"/>
      <c r="BR61" s="52" t="s">
        <v>218</v>
      </c>
      <c r="BS61" s="46"/>
      <c r="BT61" s="38"/>
      <c r="BU61" s="52" t="s">
        <v>218</v>
      </c>
      <c r="BV61" s="46"/>
      <c r="BW61" s="38"/>
      <c r="BX61" s="52" t="s">
        <v>218</v>
      </c>
      <c r="BY61" s="46"/>
      <c r="BZ61" s="38"/>
      <c r="CA61" s="52" t="s">
        <v>218</v>
      </c>
      <c r="CB61" s="46"/>
      <c r="CC61" s="38"/>
      <c r="CD61" s="52" t="s">
        <v>218</v>
      </c>
      <c r="CE61" s="46"/>
      <c r="CF61" s="38"/>
      <c r="CG61" s="52" t="s">
        <v>218</v>
      </c>
      <c r="CH61" s="46"/>
      <c r="CI61" s="38"/>
      <c r="CJ61" s="52" t="s">
        <v>218</v>
      </c>
      <c r="CK61" s="46"/>
      <c r="CL61" s="38"/>
      <c r="CM61" s="52" t="s">
        <v>218</v>
      </c>
      <c r="CN61" s="46"/>
      <c r="CO61" s="37"/>
      <c r="CP61" s="52" t="s">
        <v>218</v>
      </c>
      <c r="CQ61" s="46"/>
    </row>
    <row r="62" spans="1:95" s="13" customFormat="1" ht="15" customHeight="1" x14ac:dyDescent="0.25">
      <c r="A62" s="62"/>
      <c r="B62" s="62" t="s">
        <v>67</v>
      </c>
      <c r="C62" s="62"/>
      <c r="D62" s="299" t="s">
        <v>224</v>
      </c>
      <c r="E62" s="300"/>
      <c r="F62" s="336" t="s">
        <v>173</v>
      </c>
      <c r="G62" s="273"/>
      <c r="H62" s="276"/>
      <c r="I62" s="336" t="s">
        <v>168</v>
      </c>
      <c r="J62" s="273"/>
      <c r="K62" s="276"/>
      <c r="L62" s="336" t="s">
        <v>168</v>
      </c>
      <c r="M62" s="273"/>
      <c r="N62" s="276"/>
      <c r="O62" s="336" t="s">
        <v>168</v>
      </c>
      <c r="P62" s="273"/>
      <c r="Q62" s="276"/>
      <c r="R62" s="336" t="s">
        <v>168</v>
      </c>
      <c r="S62" s="273"/>
      <c r="T62" s="276"/>
      <c r="U62" s="336" t="s">
        <v>168</v>
      </c>
      <c r="V62" s="273"/>
      <c r="W62" s="276"/>
      <c r="X62" s="336" t="s">
        <v>173</v>
      </c>
      <c r="Y62" s="273"/>
      <c r="Z62" s="276"/>
      <c r="AA62" s="336" t="s">
        <v>168</v>
      </c>
      <c r="AB62" s="273"/>
      <c r="AC62" s="276"/>
      <c r="AD62" s="336" t="s">
        <v>168</v>
      </c>
      <c r="AE62" s="273"/>
      <c r="AF62" s="276"/>
      <c r="AG62" s="336" t="s">
        <v>173</v>
      </c>
      <c r="AH62" s="273"/>
      <c r="AI62" s="276"/>
      <c r="AJ62" s="336" t="s">
        <v>173</v>
      </c>
      <c r="AK62" s="273"/>
      <c r="AL62" s="276"/>
      <c r="AM62" s="336"/>
      <c r="AN62" s="273"/>
      <c r="AO62" s="276"/>
      <c r="AP62" s="336"/>
      <c r="AQ62" s="273"/>
      <c r="AR62" s="276"/>
      <c r="AS62" s="336"/>
      <c r="AT62" s="273"/>
      <c r="AU62" s="276"/>
      <c r="AV62" s="336"/>
      <c r="AW62" s="273"/>
      <c r="AX62" s="276"/>
      <c r="AY62" s="336"/>
      <c r="AZ62" s="273"/>
      <c r="BA62" s="276"/>
      <c r="BB62" s="336"/>
      <c r="BC62" s="273"/>
      <c r="BD62" s="276"/>
      <c r="BE62" s="336"/>
      <c r="BF62" s="273"/>
      <c r="BG62" s="276"/>
      <c r="BH62" s="336"/>
      <c r="BI62" s="273"/>
      <c r="BJ62" s="276"/>
      <c r="BK62" s="336"/>
      <c r="BL62" s="273"/>
      <c r="BM62" s="276"/>
      <c r="BN62" s="336"/>
      <c r="BO62" s="273"/>
      <c r="BP62" s="276"/>
      <c r="BQ62" s="336"/>
      <c r="BR62" s="273"/>
      <c r="BS62" s="276"/>
      <c r="BT62" s="336"/>
      <c r="BU62" s="273"/>
      <c r="BV62" s="276"/>
      <c r="BW62" s="336"/>
      <c r="BX62" s="273"/>
      <c r="BY62" s="276"/>
      <c r="BZ62" s="336"/>
      <c r="CA62" s="273"/>
      <c r="CB62" s="276"/>
      <c r="CC62" s="336"/>
      <c r="CD62" s="273"/>
      <c r="CE62" s="276"/>
      <c r="CF62" s="336"/>
      <c r="CG62" s="273"/>
      <c r="CH62" s="276"/>
      <c r="CI62" s="336"/>
      <c r="CJ62" s="273"/>
      <c r="CK62" s="276"/>
      <c r="CL62" s="336"/>
      <c r="CM62" s="273"/>
      <c r="CN62" s="276"/>
      <c r="CO62" s="336"/>
      <c r="CP62" s="273"/>
      <c r="CQ62" s="273"/>
    </row>
    <row r="63" spans="1:95" s="13" customFormat="1" ht="15" customHeight="1" x14ac:dyDescent="0.25">
      <c r="A63" s="62"/>
      <c r="B63" s="62" t="s">
        <v>67</v>
      </c>
      <c r="C63" s="62"/>
      <c r="D63" s="296" t="s">
        <v>225</v>
      </c>
      <c r="E63" s="297"/>
      <c r="F63" s="38" t="s">
        <v>173</v>
      </c>
      <c r="G63" s="53" t="s">
        <v>226</v>
      </c>
      <c r="H63" s="47"/>
      <c r="I63" s="38" t="s">
        <v>173</v>
      </c>
      <c r="J63" s="53" t="s">
        <v>226</v>
      </c>
      <c r="K63" s="47"/>
      <c r="L63" s="38" t="s">
        <v>173</v>
      </c>
      <c r="M63" s="53" t="s">
        <v>226</v>
      </c>
      <c r="N63" s="47"/>
      <c r="O63" s="38" t="s">
        <v>173</v>
      </c>
      <c r="P63" s="53" t="s">
        <v>226</v>
      </c>
      <c r="Q63" s="47"/>
      <c r="R63" s="38" t="s">
        <v>173</v>
      </c>
      <c r="S63" s="53" t="s">
        <v>226</v>
      </c>
      <c r="T63" s="47"/>
      <c r="U63" s="38" t="s">
        <v>173</v>
      </c>
      <c r="V63" s="53" t="s">
        <v>226</v>
      </c>
      <c r="W63" s="47"/>
      <c r="X63" s="38" t="s">
        <v>168</v>
      </c>
      <c r="Y63" s="53" t="s">
        <v>226</v>
      </c>
      <c r="Z63" s="47" t="s">
        <v>227</v>
      </c>
      <c r="AA63" s="38" t="s">
        <v>173</v>
      </c>
      <c r="AB63" s="53" t="s">
        <v>226</v>
      </c>
      <c r="AC63" s="47"/>
      <c r="AD63" s="38" t="s">
        <v>173</v>
      </c>
      <c r="AE63" s="53" t="s">
        <v>226</v>
      </c>
      <c r="AF63" s="47"/>
      <c r="AG63" s="38" t="s">
        <v>173</v>
      </c>
      <c r="AH63" s="53" t="s">
        <v>226</v>
      </c>
      <c r="AI63" s="47"/>
      <c r="AJ63" s="38" t="s">
        <v>173</v>
      </c>
      <c r="AK63" s="53" t="s">
        <v>226</v>
      </c>
      <c r="AL63" s="47"/>
      <c r="AM63" s="38"/>
      <c r="AN63" s="53" t="s">
        <v>226</v>
      </c>
      <c r="AO63" s="47"/>
      <c r="AP63" s="38"/>
      <c r="AQ63" s="53" t="s">
        <v>226</v>
      </c>
      <c r="AR63" s="47"/>
      <c r="AS63" s="38"/>
      <c r="AT63" s="53" t="s">
        <v>226</v>
      </c>
      <c r="AU63" s="47"/>
      <c r="AV63" s="38"/>
      <c r="AW63" s="53" t="s">
        <v>226</v>
      </c>
      <c r="AX63" s="47"/>
      <c r="AY63" s="38"/>
      <c r="AZ63" s="53" t="s">
        <v>226</v>
      </c>
      <c r="BA63" s="47"/>
      <c r="BB63" s="38"/>
      <c r="BC63" s="53" t="s">
        <v>226</v>
      </c>
      <c r="BD63" s="47"/>
      <c r="BE63" s="38"/>
      <c r="BF63" s="53" t="s">
        <v>226</v>
      </c>
      <c r="BG63" s="47"/>
      <c r="BH63" s="38"/>
      <c r="BI63" s="53" t="s">
        <v>226</v>
      </c>
      <c r="BJ63" s="47"/>
      <c r="BK63" s="38"/>
      <c r="BL63" s="53" t="s">
        <v>226</v>
      </c>
      <c r="BM63" s="47"/>
      <c r="BN63" s="38"/>
      <c r="BO63" s="53" t="s">
        <v>226</v>
      </c>
      <c r="BP63" s="47"/>
      <c r="BQ63" s="38"/>
      <c r="BR63" s="53" t="s">
        <v>226</v>
      </c>
      <c r="BS63" s="47"/>
      <c r="BT63" s="38"/>
      <c r="BU63" s="53" t="s">
        <v>226</v>
      </c>
      <c r="BV63" s="47"/>
      <c r="BW63" s="38"/>
      <c r="BX63" s="53" t="s">
        <v>226</v>
      </c>
      <c r="BY63" s="47"/>
      <c r="BZ63" s="38"/>
      <c r="CA63" s="53" t="s">
        <v>226</v>
      </c>
      <c r="CB63" s="47"/>
      <c r="CC63" s="38"/>
      <c r="CD63" s="53" t="s">
        <v>226</v>
      </c>
      <c r="CE63" s="47"/>
      <c r="CF63" s="38"/>
      <c r="CG63" s="53" t="s">
        <v>226</v>
      </c>
      <c r="CH63" s="47"/>
      <c r="CI63" s="38"/>
      <c r="CJ63" s="53" t="s">
        <v>226</v>
      </c>
      <c r="CK63" s="47"/>
      <c r="CL63" s="38"/>
      <c r="CM63" s="53" t="s">
        <v>226</v>
      </c>
      <c r="CN63" s="47"/>
      <c r="CO63" s="37"/>
      <c r="CP63" s="53" t="s">
        <v>226</v>
      </c>
      <c r="CQ63" s="47"/>
    </row>
    <row r="64" spans="1:95" s="13" customFormat="1" ht="15" customHeight="1" x14ac:dyDescent="0.25">
      <c r="A64" s="62"/>
      <c r="B64" s="62" t="s">
        <v>67</v>
      </c>
      <c r="C64" s="62"/>
      <c r="D64" s="294" t="s">
        <v>228</v>
      </c>
      <c r="E64" s="295"/>
      <c r="F64" s="332" t="str">
        <f>IF(RIGHT(IF(OR(F65="",F66="",F67="",F68="",F69=""),"",IF(CONCATENATE(IF(F65="Yes","C-Statistic / ",""),IF(F66="Yes","D-Statistics / ",""),IF(F67="Yes","AUC graph / ",""),IF(F68="Yes","Log-rank test / ",""),IF(F69="Yes","Risk group curves / ",""),IF(F70="Yes",H70,""))="","Not evaluated",CONCATENATE(IF(F65="Yes","C-Statistic / ",""),IF(F66="Yes","D-Statistics / ",""),IF(F67="Yes","AUC graph / ",""),IF(F68="Yes","Log-rank test / ",""),IF(F69="Yes","Risk group curves / ",""),IF(F70="Yes",H70,"")))),2)="/ ",LEFT(IF(OR(F65="",F66="",F67="",F68="",F69=""),"",IF(CONCATENATE(IF(F65="Yes","C-Statistic / ",""),IF(F66="Yes","D-Statistics / ",""),IF(F67="Yes","AUC graph / ",""),IF(F68="Yes","Log-rank test / ",""),IF(F69="Yes","Risk group curves / ",""),IF(F70="Yes",H70,""))="","Not evaluated",CONCATENATE(IF(F65="Yes","C-Statistic / ",""),IF(F66="Yes","D-Statistics / ",""),IF(F67="Yes","AUC graph / ",""),IF(F68="Yes","Log-rank test / ",""),IF(F69="Yes","Risk group curves / ",""),IF(F70="Yes",H70,"")))),LEN(IF(OR(F65="",F66="",F67="",F68="",F69=""),"",IF(CONCATENATE(IF(F65="Yes","C-Statistic / ",""),IF(F66="Yes","D-Statistics / ",""),IF(F67="Yes","AUC graph / ",""),IF(F68="Yes","Log-rank test / ",""),IF(F69="Yes","Risk group curves / ",""),IF(F70="Yes",H70,""))="","Not evaluated",CONCATENATE(IF(F65="Yes","C-Statistic / ",""),IF(F66="Yes","D-Statistics / ",""),IF(F67="Yes","AUC graph / ",""),IF(F68="Yes","Log-rank test / ",""),IF(F69="Yes","Risk group curves / ",""),IF(F70="Yes",H70,"")))))-2),IF(OR(F65="",F66="",F67="",F68="",F69=""),"",IF(CONCATENATE(IF(F65="Yes","C-Statistic / ",""),IF(F66="Yes","D-Statistics / ",""),IF(F67="Yes","AUC graph / ",""),IF(F68="Yes","Log-rank test / ",""),IF(F69="Yes","Risk group curves / ",""),IF(F70="Yes",H70,""))="","Not evaluated",CONCATENATE(IF(F65="Yes","C-Statistic / ",""),IF(F66="Yes","D-Statistics / ",""),IF(F67="Yes","AUC graph / ",""),IF(F68="Yes","Log-rank test / ",""),IF(F69="Yes","Risk group curves / ",""),IF(F70="Yes",H70,"")))))</f>
        <v xml:space="preserve">C-Statistic </v>
      </c>
      <c r="G64" s="333"/>
      <c r="H64" s="333"/>
      <c r="I64" s="332" t="str">
        <f>IF(RIGHT(IF(OR(I65="",I66="",I67="",I68="",I69=""),"",IF(CONCATENATE(IF(I65="Yes","C-Statistic / ",""),IF(I66="Yes","D-Statistics / ",""),IF(I67="Yes","AUC graph / ",""),IF(I68="Yes","Log-rank test / ",""),IF(I69="Yes","Risk group curves / ",""),IF(I70="Yes",K70,""))="","Not evaluated",CONCATENATE(IF(I65="Yes","C-Statistic / ",""),IF(I66="Yes","D-Statistics / ",""),IF(I67="Yes","AUC graph / ",""),IF(I68="Yes","Log-rank test / ",""),IF(I69="Yes","Risk group curves / ",""),IF(I70="Yes",K70,"")))),2)="/ ",LEFT(IF(OR(I65="",I66="",I67="",I68="",I69=""),"",IF(CONCATENATE(IF(I65="Yes","C-Statistic / ",""),IF(I66="Yes","D-Statistics / ",""),IF(I67="Yes","AUC graph / ",""),IF(I68="Yes","Log-rank test / ",""),IF(I69="Yes","Risk group curves / ",""),IF(I70="Yes",K70,""))="","Not evaluated",CONCATENATE(IF(I65="Yes","C-Statistic / ",""),IF(I66="Yes","D-Statistics / ",""),IF(I67="Yes","AUC graph / ",""),IF(I68="Yes","Log-rank test / ",""),IF(I69="Yes","Risk group curves / ",""),IF(I70="Yes",K70,"")))),LEN(IF(OR(I65="",I66="",I67="",I68="",I69=""),"",IF(CONCATENATE(IF(I65="Yes","C-Statistic / ",""),IF(I66="Yes","D-Statistics / ",""),IF(I67="Yes","AUC graph / ",""),IF(I68="Yes","Log-rank test / ",""),IF(I69="Yes","Risk group curves / ",""),IF(I70="Yes",K70,""))="","Not evaluated",CONCATENATE(IF(I65="Yes","C-Statistic / ",""),IF(I66="Yes","D-Statistics / ",""),IF(I67="Yes","AUC graph / ",""),IF(I68="Yes","Log-rank test / ",""),IF(I69="Yes","Risk group curves / ",""),IF(I70="Yes",K70,"")))))-2),IF(OR(I65="",I66="",I67="",I68="",I69=""),"",IF(CONCATENATE(IF(I65="Yes","C-Statistic / ",""),IF(I66="Yes","D-Statistics / ",""),IF(I67="Yes","AUC graph / ",""),IF(I68="Yes","Log-rank test / ",""),IF(I69="Yes","Risk group curves / ",""),IF(I70="Yes",K70,""))="","Not evaluated",CONCATENATE(IF(I65="Yes","C-Statistic / ",""),IF(I66="Yes","D-Statistics / ",""),IF(I67="Yes","AUC graph / ",""),IF(I68="Yes","Log-rank test / ",""),IF(I69="Yes","Risk group curves / ",""),IF(I70="Yes",K70,"")))))</f>
        <v xml:space="preserve">C-Statistic / AUC graph </v>
      </c>
      <c r="J64" s="333"/>
      <c r="K64" s="333"/>
      <c r="L64" s="332" t="str">
        <f>IF(RIGHT(IF(OR(L65="",L66="",L67="",L68="",L69=""),"",IF(CONCATENATE(IF(L65="Yes","C-Statistic / ",""),IF(L66="Yes","D-Statistics / ",""),IF(L67="Yes","AUC graph / ",""),IF(L68="Yes","Log-rank test / ",""),IF(L69="Yes","Risk group curves / ",""),IF(L70="Yes",N70,""))="","Not evaluated",CONCATENATE(IF(L65="Yes","C-Statistic / ",""),IF(L66="Yes","D-Statistics / ",""),IF(L67="Yes","AUC graph / ",""),IF(L68="Yes","Log-rank test / ",""),IF(L69="Yes","Risk group curves / ",""),IF(L70="Yes",N70,"")))),2)="/ ",LEFT(IF(OR(L65="",L66="",L67="",L68="",L69=""),"",IF(CONCATENATE(IF(L65="Yes","C-Statistic / ",""),IF(L66="Yes","D-Statistics / ",""),IF(L67="Yes","AUC graph / ",""),IF(L68="Yes","Log-rank test / ",""),IF(L69="Yes","Risk group curves / ",""),IF(L70="Yes",N70,""))="","Not evaluated",CONCATENATE(IF(L65="Yes","C-Statistic / ",""),IF(L66="Yes","D-Statistics / ",""),IF(L67="Yes","AUC graph / ",""),IF(L68="Yes","Log-rank test / ",""),IF(L69="Yes","Risk group curves / ",""),IF(L70="Yes",N70,"")))),LEN(IF(OR(L65="",L66="",L67="",L68="",L69=""),"",IF(CONCATENATE(IF(L65="Yes","C-Statistic / ",""),IF(L66="Yes","D-Statistics / ",""),IF(L67="Yes","AUC graph / ",""),IF(L68="Yes","Log-rank test / ",""),IF(L69="Yes","Risk group curves / ",""),IF(L70="Yes",N70,""))="","Not evaluated",CONCATENATE(IF(L65="Yes","C-Statistic / ",""),IF(L66="Yes","D-Statistics / ",""),IF(L67="Yes","AUC graph / ",""),IF(L68="Yes","Log-rank test / ",""),IF(L69="Yes","Risk group curves / ",""),IF(L70="Yes",N70,"")))))-2),IF(OR(L65="",L66="",L67="",L68="",L69=""),"",IF(CONCATENATE(IF(L65="Yes","C-Statistic / ",""),IF(L66="Yes","D-Statistics / ",""),IF(L67="Yes","AUC graph / ",""),IF(L68="Yes","Log-rank test / ",""),IF(L69="Yes","Risk group curves / ",""),IF(L70="Yes",N70,""))="","Not evaluated",CONCATENATE(IF(L65="Yes","C-Statistic / ",""),IF(L66="Yes","D-Statistics / ",""),IF(L67="Yes","AUC graph / ",""),IF(L68="Yes","Log-rank test / ",""),IF(L69="Yes","Risk group curves / ",""),IF(L70="Yes",N70,"")))))</f>
        <v xml:space="preserve">C-Statistic / AUC graph </v>
      </c>
      <c r="M64" s="333"/>
      <c r="N64" s="333"/>
      <c r="O64" s="332" t="str">
        <f>IF(RIGHT(IF(OR(O65="",O66="",O67="",O68="",O69=""),"",IF(CONCATENATE(IF(O65="Yes","C-Statistic / ",""),IF(O66="Yes","D-Statistics / ",""),IF(O67="Yes","AUC graph / ",""),IF(O68="Yes","Log-rank test / ",""),IF(O69="Yes","Risk group curves / ",""),IF(O70="Yes",Q70,""))="","Not evaluated",CONCATENATE(IF(O65="Yes","C-Statistic / ",""),IF(O66="Yes","D-Statistics / ",""),IF(O67="Yes","AUC graph / ",""),IF(O68="Yes","Log-rank test / ",""),IF(O69="Yes","Risk group curves / ",""),IF(O70="Yes",Q70,"")))),2)="/ ",LEFT(IF(OR(O65="",O66="",O67="",O68="",O69=""),"",IF(CONCATENATE(IF(O65="Yes","C-Statistic / ",""),IF(O66="Yes","D-Statistics / ",""),IF(O67="Yes","AUC graph / ",""),IF(O68="Yes","Log-rank test / ",""),IF(O69="Yes","Risk group curves / ",""),IF(O70="Yes",Q70,""))="","Not evaluated",CONCATENATE(IF(O65="Yes","C-Statistic / ",""),IF(O66="Yes","D-Statistics / ",""),IF(O67="Yes","AUC graph / ",""),IF(O68="Yes","Log-rank test / ",""),IF(O69="Yes","Risk group curves / ",""),IF(O70="Yes",Q70,"")))),LEN(IF(OR(O65="",O66="",O67="",O68="",O69=""),"",IF(CONCATENATE(IF(O65="Yes","C-Statistic / ",""),IF(O66="Yes","D-Statistics / ",""),IF(O67="Yes","AUC graph / ",""),IF(O68="Yes","Log-rank test / ",""),IF(O69="Yes","Risk group curves / ",""),IF(O70="Yes",Q70,""))="","Not evaluated",CONCATENATE(IF(O65="Yes","C-Statistic / ",""),IF(O66="Yes","D-Statistics / ",""),IF(O67="Yes","AUC graph / ",""),IF(O68="Yes","Log-rank test / ",""),IF(O69="Yes","Risk group curves / ",""),IF(O70="Yes",Q70,"")))))-2),IF(OR(O65="",O66="",O67="",O68="",O69=""),"",IF(CONCATENATE(IF(O65="Yes","C-Statistic / ",""),IF(O66="Yes","D-Statistics / ",""),IF(O67="Yes","AUC graph / ",""),IF(O68="Yes","Log-rank test / ",""),IF(O69="Yes","Risk group curves / ",""),IF(O70="Yes",Q70,""))="","Not evaluated",CONCATENATE(IF(O65="Yes","C-Statistic / ",""),IF(O66="Yes","D-Statistics / ",""),IF(O67="Yes","AUC graph / ",""),IF(O68="Yes","Log-rank test / ",""),IF(O69="Yes","Risk group curves / ",""),IF(O70="Yes",Q70,"")))))</f>
        <v xml:space="preserve">C-Statistic / AUC graph </v>
      </c>
      <c r="P64" s="333"/>
      <c r="Q64" s="333"/>
      <c r="R64" s="332" t="str">
        <f>IF(RIGHT(IF(OR(R65="",R66="",R67="",R68="",R69=""),"",IF(CONCATENATE(IF(R65="Yes","C-Statistic / ",""),IF(R66="Yes","D-Statistics / ",""),IF(R67="Yes","AUC graph / ",""),IF(R68="Yes","Log-rank test / ",""),IF(R69="Yes","Risk group curves / ",""),IF(R70="Yes",T70,""))="","Not evaluated",CONCATENATE(IF(R65="Yes","C-Statistic / ",""),IF(R66="Yes","D-Statistics / ",""),IF(R67="Yes","AUC graph / ",""),IF(R68="Yes","Log-rank test / ",""),IF(R69="Yes","Risk group curves / ",""),IF(R70="Yes",T70,"")))),2)="/ ",LEFT(IF(OR(R65="",R66="",R67="",R68="",R69=""),"",IF(CONCATENATE(IF(R65="Yes","C-Statistic / ",""),IF(R66="Yes","D-Statistics / ",""),IF(R67="Yes","AUC graph / ",""),IF(R68="Yes","Log-rank test / ",""),IF(R69="Yes","Risk group curves / ",""),IF(R70="Yes",T70,""))="","Not evaluated",CONCATENATE(IF(R65="Yes","C-Statistic / ",""),IF(R66="Yes","D-Statistics / ",""),IF(R67="Yes","AUC graph / ",""),IF(R68="Yes","Log-rank test / ",""),IF(R69="Yes","Risk group curves / ",""),IF(R70="Yes",T70,"")))),LEN(IF(OR(R65="",R66="",R67="",R68="",R69=""),"",IF(CONCATENATE(IF(R65="Yes","C-Statistic / ",""),IF(R66="Yes","D-Statistics / ",""),IF(R67="Yes","AUC graph / ",""),IF(R68="Yes","Log-rank test / ",""),IF(R69="Yes","Risk group curves / ",""),IF(R70="Yes",T70,""))="","Not evaluated",CONCATENATE(IF(R65="Yes","C-Statistic / ",""),IF(R66="Yes","D-Statistics / ",""),IF(R67="Yes","AUC graph / ",""),IF(R68="Yes","Log-rank test / ",""),IF(R69="Yes","Risk group curves / ",""),IF(R70="Yes",T70,"")))))-2),IF(OR(R65="",R66="",R67="",R68="",R69=""),"",IF(CONCATENATE(IF(R65="Yes","C-Statistic / ",""),IF(R66="Yes","D-Statistics / ",""),IF(R67="Yes","AUC graph / ",""),IF(R68="Yes","Log-rank test / ",""),IF(R69="Yes","Risk group curves / ",""),IF(R70="Yes",T70,""))="","Not evaluated",CONCATENATE(IF(R65="Yes","C-Statistic / ",""),IF(R66="Yes","D-Statistics / ",""),IF(R67="Yes","AUC graph / ",""),IF(R68="Yes","Log-rank test / ",""),IF(R69="Yes","Risk group curves / ",""),IF(R70="Yes",T70,"")))))</f>
        <v xml:space="preserve">C-Statistic / AUC graph </v>
      </c>
      <c r="S64" s="333"/>
      <c r="T64" s="333"/>
      <c r="U64" s="332" t="str">
        <f>IF(RIGHT(IF(OR(U65="",U66="",U67="",U68="",U69=""),"",IF(CONCATENATE(IF(U65="Yes","C-Statistic / ",""),IF(U66="Yes","D-Statistics / ",""),IF(U67="Yes","AUC graph / ",""),IF(U68="Yes","Log-rank test / ",""),IF(U69="Yes","Risk group curves / ",""),IF(U70="Yes",W70,""))="","Not evaluated",CONCATENATE(IF(U65="Yes","C-Statistic / ",""),IF(U66="Yes","D-Statistics / ",""),IF(U67="Yes","AUC graph / ",""),IF(U68="Yes","Log-rank test / ",""),IF(U69="Yes","Risk group curves / ",""),IF(U70="Yes",W70,"")))),2)="/ ",LEFT(IF(OR(U65="",U66="",U67="",U68="",U69=""),"",IF(CONCATENATE(IF(U65="Yes","C-Statistic / ",""),IF(U66="Yes","D-Statistics / ",""),IF(U67="Yes","AUC graph / ",""),IF(U68="Yes","Log-rank test / ",""),IF(U69="Yes","Risk group curves / ",""),IF(U70="Yes",W70,""))="","Not evaluated",CONCATENATE(IF(U65="Yes","C-Statistic / ",""),IF(U66="Yes","D-Statistics / ",""),IF(U67="Yes","AUC graph / ",""),IF(U68="Yes","Log-rank test / ",""),IF(U69="Yes","Risk group curves / ",""),IF(U70="Yes",W70,"")))),LEN(IF(OR(U65="",U66="",U67="",U68="",U69=""),"",IF(CONCATENATE(IF(U65="Yes","C-Statistic / ",""),IF(U66="Yes","D-Statistics / ",""),IF(U67="Yes","AUC graph / ",""),IF(U68="Yes","Log-rank test / ",""),IF(U69="Yes","Risk group curves / ",""),IF(U70="Yes",W70,""))="","Not evaluated",CONCATENATE(IF(U65="Yes","C-Statistic / ",""),IF(U66="Yes","D-Statistics / ",""),IF(U67="Yes","AUC graph / ",""),IF(U68="Yes","Log-rank test / ",""),IF(U69="Yes","Risk group curves / ",""),IF(U70="Yes",W70,"")))))-2),IF(OR(U65="",U66="",U67="",U68="",U69=""),"",IF(CONCATENATE(IF(U65="Yes","C-Statistic / ",""),IF(U66="Yes","D-Statistics / ",""),IF(U67="Yes","AUC graph / ",""),IF(U68="Yes","Log-rank test / ",""),IF(U69="Yes","Risk group curves / ",""),IF(U70="Yes",W70,""))="","Not evaluated",CONCATENATE(IF(U65="Yes","C-Statistic / ",""),IF(U66="Yes","D-Statistics / ",""),IF(U67="Yes","AUC graph / ",""),IF(U68="Yes","Log-rank test / ",""),IF(U69="Yes","Risk group curves / ",""),IF(U70="Yes",W70,"")))))</f>
        <v xml:space="preserve">C-Statistic / AUC graph </v>
      </c>
      <c r="V64" s="333"/>
      <c r="W64" s="333"/>
      <c r="X64" s="332" t="str">
        <f>IF(RIGHT(IF(OR(X65="",X66="",X67="",X68="",X69=""),"",IF(CONCATENATE(IF(X65="Yes","C-Statistic / ",""),IF(X66="Yes","D-Statistics / ",""),IF(X67="Yes","AUC graph / ",""),IF(X68="Yes","Log-rank test / ",""),IF(X69="Yes","Risk group curves / ",""),IF(X70="Yes",Z70,""))="","Not evaluated",CONCATENATE(IF(X65="Yes","C-Statistic / ",""),IF(X66="Yes","D-Statistics / ",""),IF(X67="Yes","AUC graph / ",""),IF(X68="Yes","Log-rank test / ",""),IF(X69="Yes","Risk group curves / ",""),IF(X70="Yes",Z70,"")))),2)="/ ",LEFT(IF(OR(X65="",X66="",X67="",X68="",X69=""),"",IF(CONCATENATE(IF(X65="Yes","C-Statistic / ",""),IF(X66="Yes","D-Statistics / ",""),IF(X67="Yes","AUC graph / ",""),IF(X68="Yes","Log-rank test / ",""),IF(X69="Yes","Risk group curves / ",""),IF(X70="Yes",Z70,""))="","Not evaluated",CONCATENATE(IF(X65="Yes","C-Statistic / ",""),IF(X66="Yes","D-Statistics / ",""),IF(X67="Yes","AUC graph / ",""),IF(X68="Yes","Log-rank test / ",""),IF(X69="Yes","Risk group curves / ",""),IF(X70="Yes",Z70,"")))),LEN(IF(OR(X65="",X66="",X67="",X68="",X69=""),"",IF(CONCATENATE(IF(X65="Yes","C-Statistic / ",""),IF(X66="Yes","D-Statistics / ",""),IF(X67="Yes","AUC graph / ",""),IF(X68="Yes","Log-rank test / ",""),IF(X69="Yes","Risk group curves / ",""),IF(X70="Yes",Z70,""))="","Not evaluated",CONCATENATE(IF(X65="Yes","C-Statistic / ",""),IF(X66="Yes","D-Statistics / ",""),IF(X67="Yes","AUC graph / ",""),IF(X68="Yes","Log-rank test / ",""),IF(X69="Yes","Risk group curves / ",""),IF(X70="Yes",Z70,"")))))-2),IF(OR(X65="",X66="",X67="",X68="",X69=""),"",IF(CONCATENATE(IF(X65="Yes","C-Statistic / ",""),IF(X66="Yes","D-Statistics / ",""),IF(X67="Yes","AUC graph / ",""),IF(X68="Yes","Log-rank test / ",""),IF(X69="Yes","Risk group curves / ",""),IF(X70="Yes",Z70,""))="","Not evaluated",CONCATENATE(IF(X65="Yes","C-Statistic / ",""),IF(X66="Yes","D-Statistics / ",""),IF(X67="Yes","AUC graph / ",""),IF(X68="Yes","Log-rank test / ",""),IF(X69="Yes","Risk group curves / ",""),IF(X70="Yes",Z70,"")))))</f>
        <v xml:space="preserve">C-Statistic / AUC graph </v>
      </c>
      <c r="Y64" s="333"/>
      <c r="Z64" s="333"/>
      <c r="AA64" s="332" t="str">
        <f>IF(RIGHT(IF(OR(AA65="",AA66="",AA67="",AA68="",AA69=""),"",IF(CONCATENATE(IF(AA65="Yes","C-Statistic / ",""),IF(AA66="Yes","D-Statistics / ",""),IF(AA67="Yes","AUC graph / ",""),IF(AA68="Yes","Log-rank test / ",""),IF(AA69="Yes","Risk group curves / ",""),IF(AA70="Yes",AC70,""))="","Not evaluated",CONCATENATE(IF(AA65="Yes","C-Statistic / ",""),IF(AA66="Yes","D-Statistics / ",""),IF(AA67="Yes","AUC graph / ",""),IF(AA68="Yes","Log-rank test / ",""),IF(AA69="Yes","Risk group curves / ",""),IF(AA70="Yes",AC70,"")))),2)="/ ",LEFT(IF(OR(AA65="",AA66="",AA67="",AA68="",AA69=""),"",IF(CONCATENATE(IF(AA65="Yes","C-Statistic / ",""),IF(AA66="Yes","D-Statistics / ",""),IF(AA67="Yes","AUC graph / ",""),IF(AA68="Yes","Log-rank test / ",""),IF(AA69="Yes","Risk group curves / ",""),IF(AA70="Yes",AC70,""))="","Not evaluated",CONCATENATE(IF(AA65="Yes","C-Statistic / ",""),IF(AA66="Yes","D-Statistics / ",""),IF(AA67="Yes","AUC graph / ",""),IF(AA68="Yes","Log-rank test / ",""),IF(AA69="Yes","Risk group curves / ",""),IF(AA70="Yes",AC70,"")))),LEN(IF(OR(AA65="",AA66="",AA67="",AA68="",AA69=""),"",IF(CONCATENATE(IF(AA65="Yes","C-Statistic / ",""),IF(AA66="Yes","D-Statistics / ",""),IF(AA67="Yes","AUC graph / ",""),IF(AA68="Yes","Log-rank test / ",""),IF(AA69="Yes","Risk group curves / ",""),IF(AA70="Yes",AC70,""))="","Not evaluated",CONCATENATE(IF(AA65="Yes","C-Statistic / ",""),IF(AA66="Yes","D-Statistics / ",""),IF(AA67="Yes","AUC graph / ",""),IF(AA68="Yes","Log-rank test / ",""),IF(AA69="Yes","Risk group curves / ",""),IF(AA70="Yes",AC70,"")))))-2),IF(OR(AA65="",AA66="",AA67="",AA68="",AA69=""),"",IF(CONCATENATE(IF(AA65="Yes","C-Statistic / ",""),IF(AA66="Yes","D-Statistics / ",""),IF(AA67="Yes","AUC graph / ",""),IF(AA68="Yes","Log-rank test / ",""),IF(AA69="Yes","Risk group curves / ",""),IF(AA70="Yes",AC70,""))="","Not evaluated",CONCATENATE(IF(AA65="Yes","C-Statistic / ",""),IF(AA66="Yes","D-Statistics / ",""),IF(AA67="Yes","AUC graph / ",""),IF(AA68="Yes","Log-rank test / ",""),IF(AA69="Yes","Risk group curves / ",""),IF(AA70="Yes",AC70,"")))))</f>
        <v xml:space="preserve">C-Statistic / AUC graph </v>
      </c>
      <c r="AB64" s="333"/>
      <c r="AC64" s="333"/>
      <c r="AD64" s="332" t="str">
        <f>IF(RIGHT(IF(OR(AD65="",AD66="",AD67="",AD68="",AD69=""),"",IF(CONCATENATE(IF(AD65="Yes","C-Statistic / ",""),IF(AD66="Yes","D-Statistics / ",""),IF(AD67="Yes","AUC graph / ",""),IF(AD68="Yes","Log-rank test / ",""),IF(AD69="Yes","Risk group curves / ",""),IF(AD70="Yes",AF70,""))="","Not evaluated",CONCATENATE(IF(AD65="Yes","C-Statistic / ",""),IF(AD66="Yes","D-Statistics / ",""),IF(AD67="Yes","AUC graph / ",""),IF(AD68="Yes","Log-rank test / ",""),IF(AD69="Yes","Risk group curves / ",""),IF(AD70="Yes",AF70,"")))),2)="/ ",LEFT(IF(OR(AD65="",AD66="",AD67="",AD68="",AD69=""),"",IF(CONCATENATE(IF(AD65="Yes","C-Statistic / ",""),IF(AD66="Yes","D-Statistics / ",""),IF(AD67="Yes","AUC graph / ",""),IF(AD68="Yes","Log-rank test / ",""),IF(AD69="Yes","Risk group curves / ",""),IF(AD70="Yes",AF70,""))="","Not evaluated",CONCATENATE(IF(AD65="Yes","C-Statistic / ",""),IF(AD66="Yes","D-Statistics / ",""),IF(AD67="Yes","AUC graph / ",""),IF(AD68="Yes","Log-rank test / ",""),IF(AD69="Yes","Risk group curves / ",""),IF(AD70="Yes",AF70,"")))),LEN(IF(OR(AD65="",AD66="",AD67="",AD68="",AD69=""),"",IF(CONCATENATE(IF(AD65="Yes","C-Statistic / ",""),IF(AD66="Yes","D-Statistics / ",""),IF(AD67="Yes","AUC graph / ",""),IF(AD68="Yes","Log-rank test / ",""),IF(AD69="Yes","Risk group curves / ",""),IF(AD70="Yes",AF70,""))="","Not evaluated",CONCATENATE(IF(AD65="Yes","C-Statistic / ",""),IF(AD66="Yes","D-Statistics / ",""),IF(AD67="Yes","AUC graph / ",""),IF(AD68="Yes","Log-rank test / ",""),IF(AD69="Yes","Risk group curves / ",""),IF(AD70="Yes",AF70,"")))))-2),IF(OR(AD65="",AD66="",AD67="",AD68="",AD69=""),"",IF(CONCATENATE(IF(AD65="Yes","C-Statistic / ",""),IF(AD66="Yes","D-Statistics / ",""),IF(AD67="Yes","AUC graph / ",""),IF(AD68="Yes","Log-rank test / ",""),IF(AD69="Yes","Risk group curves / ",""),IF(AD70="Yes",AF70,""))="","Not evaluated",CONCATENATE(IF(AD65="Yes","C-Statistic / ",""),IF(AD66="Yes","D-Statistics / ",""),IF(AD67="Yes","AUC graph / ",""),IF(AD68="Yes","Log-rank test / ",""),IF(AD69="Yes","Risk group curves / ",""),IF(AD70="Yes",AF70,"")))))</f>
        <v xml:space="preserve">C-Statistic / AUC graph </v>
      </c>
      <c r="AE64" s="333"/>
      <c r="AF64" s="333"/>
      <c r="AG64" s="332" t="str">
        <f>IF(RIGHT(IF(OR(AG65="",AG66="",AG67="",AG68="",AG69=""),"",IF(CONCATENATE(IF(AG65="Yes","C-Statistic / ",""),IF(AG66="Yes","D-Statistics / ",""),IF(AG67="Yes","AUC graph / ",""),IF(AG68="Yes","Log-rank test / ",""),IF(AG69="Yes","Risk group curves / ",""),IF(AG70="Yes",AI70,""))="","Not evaluated",CONCATENATE(IF(AG65="Yes","C-Statistic / ",""),IF(AG66="Yes","D-Statistics / ",""),IF(AG67="Yes","AUC graph / ",""),IF(AG68="Yes","Log-rank test / ",""),IF(AG69="Yes","Risk group curves / ",""),IF(AG70="Yes",AI70,"")))),2)="/ ",LEFT(IF(OR(AG65="",AG66="",AG67="",AG68="",AG69=""),"",IF(CONCATENATE(IF(AG65="Yes","C-Statistic / ",""),IF(AG66="Yes","D-Statistics / ",""),IF(AG67="Yes","AUC graph / ",""),IF(AG68="Yes","Log-rank test / ",""),IF(AG69="Yes","Risk group curves / ",""),IF(AG70="Yes",AI70,""))="","Not evaluated",CONCATENATE(IF(AG65="Yes","C-Statistic / ",""),IF(AG66="Yes","D-Statistics / ",""),IF(AG67="Yes","AUC graph / ",""),IF(AG68="Yes","Log-rank test / ",""),IF(AG69="Yes","Risk group curves / ",""),IF(AG70="Yes",AI70,"")))),LEN(IF(OR(AG65="",AG66="",AG67="",AG68="",AG69=""),"",IF(CONCATENATE(IF(AG65="Yes","C-Statistic / ",""),IF(AG66="Yes","D-Statistics / ",""),IF(AG67="Yes","AUC graph / ",""),IF(AG68="Yes","Log-rank test / ",""),IF(AG69="Yes","Risk group curves / ",""),IF(AG70="Yes",AI70,""))="","Not evaluated",CONCATENATE(IF(AG65="Yes","C-Statistic / ",""),IF(AG66="Yes","D-Statistics / ",""),IF(AG67="Yes","AUC graph / ",""),IF(AG68="Yes","Log-rank test / ",""),IF(AG69="Yes","Risk group curves / ",""),IF(AG70="Yes",AI70,"")))))-2),IF(OR(AG65="",AG66="",AG67="",AG68="",AG69=""),"",IF(CONCATENATE(IF(AG65="Yes","C-Statistic / ",""),IF(AG66="Yes","D-Statistics / ",""),IF(AG67="Yes","AUC graph / ",""),IF(AG68="Yes","Log-rank test / ",""),IF(AG69="Yes","Risk group curves / ",""),IF(AG70="Yes",AI70,""))="","Not evaluated",CONCATENATE(IF(AG65="Yes","C-Statistic / ",""),IF(AG66="Yes","D-Statistics / ",""),IF(AG67="Yes","AUC graph / ",""),IF(AG68="Yes","Log-rank test / ",""),IF(AG69="Yes","Risk group curves / ",""),IF(AG70="Yes",AI70,"")))))</f>
        <v xml:space="preserve">C-Statistic / AUC graph </v>
      </c>
      <c r="AH64" s="333"/>
      <c r="AI64" s="333"/>
      <c r="AJ64" s="332" t="str">
        <f>IF(RIGHT(IF(OR(AJ65="",AJ66="",AJ67="",AJ68="",AJ69=""),"",IF(CONCATENATE(IF(AJ65="Yes","C-Statistic / ",""),IF(AJ66="Yes","D-Statistics / ",""),IF(AJ67="Yes","AUC graph / ",""),IF(AJ68="Yes","Log-rank test / ",""),IF(AJ69="Yes","Risk group curves / ",""),IF(AJ70="Yes",AL70,""))="","Not evaluated",CONCATENATE(IF(AJ65="Yes","C-Statistic / ",""),IF(AJ66="Yes","D-Statistics / ",""),IF(AJ67="Yes","AUC graph / ",""),IF(AJ68="Yes","Log-rank test / ",""),IF(AJ69="Yes","Risk group curves / ",""),IF(AJ70="Yes",AL70,"")))),2)="/ ",LEFT(IF(OR(AJ65="",AJ66="",AJ67="",AJ68="",AJ69=""),"",IF(CONCATENATE(IF(AJ65="Yes","C-Statistic / ",""),IF(AJ66="Yes","D-Statistics / ",""),IF(AJ67="Yes","AUC graph / ",""),IF(AJ68="Yes","Log-rank test / ",""),IF(AJ69="Yes","Risk group curves / ",""),IF(AJ70="Yes",AL70,""))="","Not evaluated",CONCATENATE(IF(AJ65="Yes","C-Statistic / ",""),IF(AJ66="Yes","D-Statistics / ",""),IF(AJ67="Yes","AUC graph / ",""),IF(AJ68="Yes","Log-rank test / ",""),IF(AJ69="Yes","Risk group curves / ",""),IF(AJ70="Yes",AL70,"")))),LEN(IF(OR(AJ65="",AJ66="",AJ67="",AJ68="",AJ69=""),"",IF(CONCATENATE(IF(AJ65="Yes","C-Statistic / ",""),IF(AJ66="Yes","D-Statistics / ",""),IF(AJ67="Yes","AUC graph / ",""),IF(AJ68="Yes","Log-rank test / ",""),IF(AJ69="Yes","Risk group curves / ",""),IF(AJ70="Yes",AL70,""))="","Not evaluated",CONCATENATE(IF(AJ65="Yes","C-Statistic / ",""),IF(AJ66="Yes","D-Statistics / ",""),IF(AJ67="Yes","AUC graph / ",""),IF(AJ68="Yes","Log-rank test / ",""),IF(AJ69="Yes","Risk group curves / ",""),IF(AJ70="Yes",AL70,"")))))-2),IF(OR(AJ65="",AJ66="",AJ67="",AJ68="",AJ69=""),"",IF(CONCATENATE(IF(AJ65="Yes","C-Statistic / ",""),IF(AJ66="Yes","D-Statistics / ",""),IF(AJ67="Yes","AUC graph / ",""),IF(AJ68="Yes","Log-rank test / ",""),IF(AJ69="Yes","Risk group curves / ",""),IF(AJ70="Yes",AL70,""))="","Not evaluated",CONCATENATE(IF(AJ65="Yes","C-Statistic / ",""),IF(AJ66="Yes","D-Statistics / ",""),IF(AJ67="Yes","AUC graph / ",""),IF(AJ68="Yes","Log-rank test / ",""),IF(AJ69="Yes","Risk group curves / ",""),IF(AJ70="Yes",AL70,"")))))</f>
        <v xml:space="preserve">C-Statistic / AUC graph </v>
      </c>
      <c r="AK64" s="333"/>
      <c r="AL64" s="333"/>
      <c r="AM64" s="332" t="str">
        <f>IF(RIGHT(IF(OR(AM65="",AM66="",AM67="",AM68="",AM69=""),"",IF(CONCATENATE(IF(AM65="Yes","C-Statistic / ",""),IF(AM66="Yes","D-Statistics / ",""),IF(AM67="Yes","AUC graph / ",""),IF(AM68="Yes","Log-rank test / ",""),IF(AM69="Yes","Risk group curves / ",""),IF(AM70="Yes",AO70,""))="","Not evaluated",CONCATENATE(IF(AM65="Yes","C-Statistic / ",""),IF(AM66="Yes","D-Statistics / ",""),IF(AM67="Yes","AUC graph / ",""),IF(AM68="Yes","Log-rank test / ",""),IF(AM69="Yes","Risk group curves / ",""),IF(AM70="Yes",AO70,"")))),2)="/ ",LEFT(IF(OR(AM65="",AM66="",AM67="",AM68="",AM69=""),"",IF(CONCATENATE(IF(AM65="Yes","C-Statistic / ",""),IF(AM66="Yes","D-Statistics / ",""),IF(AM67="Yes","AUC graph / ",""),IF(AM68="Yes","Log-rank test / ",""),IF(AM69="Yes","Risk group curves / ",""),IF(AM70="Yes",AO70,""))="","Not evaluated",CONCATENATE(IF(AM65="Yes","C-Statistic / ",""),IF(AM66="Yes","D-Statistics / ",""),IF(AM67="Yes","AUC graph / ",""),IF(AM68="Yes","Log-rank test / ",""),IF(AM69="Yes","Risk group curves / ",""),IF(AM70="Yes",AO70,"")))),LEN(IF(OR(AM65="",AM66="",AM67="",AM68="",AM69=""),"",IF(CONCATENATE(IF(AM65="Yes","C-Statistic / ",""),IF(AM66="Yes","D-Statistics / ",""),IF(AM67="Yes","AUC graph / ",""),IF(AM68="Yes","Log-rank test / ",""),IF(AM69="Yes","Risk group curves / ",""),IF(AM70="Yes",AO70,""))="","Not evaluated",CONCATENATE(IF(AM65="Yes","C-Statistic / ",""),IF(AM66="Yes","D-Statistics / ",""),IF(AM67="Yes","AUC graph / ",""),IF(AM68="Yes","Log-rank test / ",""),IF(AM69="Yes","Risk group curves / ",""),IF(AM70="Yes",AO70,"")))))-2),IF(OR(AM65="",AM66="",AM67="",AM68="",AM69=""),"",IF(CONCATENATE(IF(AM65="Yes","C-Statistic / ",""),IF(AM66="Yes","D-Statistics / ",""),IF(AM67="Yes","AUC graph / ",""),IF(AM68="Yes","Log-rank test / ",""),IF(AM69="Yes","Risk group curves / ",""),IF(AM70="Yes",AO70,""))="","Not evaluated",CONCATENATE(IF(AM65="Yes","C-Statistic / ",""),IF(AM66="Yes","D-Statistics / ",""),IF(AM67="Yes","AUC graph / ",""),IF(AM68="Yes","Log-rank test / ",""),IF(AM69="Yes","Risk group curves / ",""),IF(AM70="Yes",AO70,"")))))</f>
        <v/>
      </c>
      <c r="AN64" s="333"/>
      <c r="AO64" s="333"/>
      <c r="AP64" s="332" t="str">
        <f>IF(RIGHT(IF(OR(AP65="",AP66="",AP67="",AP68="",AP69=""),"",IF(CONCATENATE(IF(AP65="Yes","C-Statistic / ",""),IF(AP66="Yes","D-Statistics / ",""),IF(AP67="Yes","AUC graph / ",""),IF(AP68="Yes","Log-rank test / ",""),IF(AP69="Yes","Risk group curves / ",""),IF(AP70="Yes",AR70,""))="","Not evaluated",CONCATENATE(IF(AP65="Yes","C-Statistic / ",""),IF(AP66="Yes","D-Statistics / ",""),IF(AP67="Yes","AUC graph / ",""),IF(AP68="Yes","Log-rank test / ",""),IF(AP69="Yes","Risk group curves / ",""),IF(AP70="Yes",AR70,"")))),2)="/ ",LEFT(IF(OR(AP65="",AP66="",AP67="",AP68="",AP69=""),"",IF(CONCATENATE(IF(AP65="Yes","C-Statistic / ",""),IF(AP66="Yes","D-Statistics / ",""),IF(AP67="Yes","AUC graph / ",""),IF(AP68="Yes","Log-rank test / ",""),IF(AP69="Yes","Risk group curves / ",""),IF(AP70="Yes",AR70,""))="","Not evaluated",CONCATENATE(IF(AP65="Yes","C-Statistic / ",""),IF(AP66="Yes","D-Statistics / ",""),IF(AP67="Yes","AUC graph / ",""),IF(AP68="Yes","Log-rank test / ",""),IF(AP69="Yes","Risk group curves / ",""),IF(AP70="Yes",AR70,"")))),LEN(IF(OR(AP65="",AP66="",AP67="",AP68="",AP69=""),"",IF(CONCATENATE(IF(AP65="Yes","C-Statistic / ",""),IF(AP66="Yes","D-Statistics / ",""),IF(AP67="Yes","AUC graph / ",""),IF(AP68="Yes","Log-rank test / ",""),IF(AP69="Yes","Risk group curves / ",""),IF(AP70="Yes",AR70,""))="","Not evaluated",CONCATENATE(IF(AP65="Yes","C-Statistic / ",""),IF(AP66="Yes","D-Statistics / ",""),IF(AP67="Yes","AUC graph / ",""),IF(AP68="Yes","Log-rank test / ",""),IF(AP69="Yes","Risk group curves / ",""),IF(AP70="Yes",AR70,"")))))-2),IF(OR(AP65="",AP66="",AP67="",AP68="",AP69=""),"",IF(CONCATENATE(IF(AP65="Yes","C-Statistic / ",""),IF(AP66="Yes","D-Statistics / ",""),IF(AP67="Yes","AUC graph / ",""),IF(AP68="Yes","Log-rank test / ",""),IF(AP69="Yes","Risk group curves / ",""),IF(AP70="Yes",AR70,""))="","Not evaluated",CONCATENATE(IF(AP65="Yes","C-Statistic / ",""),IF(AP66="Yes","D-Statistics / ",""),IF(AP67="Yes","AUC graph / ",""),IF(AP68="Yes","Log-rank test / ",""),IF(AP69="Yes","Risk group curves / ",""),IF(AP70="Yes",AR70,"")))))</f>
        <v/>
      </c>
      <c r="AQ64" s="333"/>
      <c r="AR64" s="333"/>
      <c r="AS64" s="332" t="str">
        <f>IF(RIGHT(IF(OR(AS65="",AS66="",AS67="",AS68="",AS69=""),"",IF(CONCATENATE(IF(AS65="Yes","C-Statistic / ",""),IF(AS66="Yes","D-Statistics / ",""),IF(AS67="Yes","AUC graph / ",""),IF(AS68="Yes","Log-rank test / ",""),IF(AS69="Yes","Risk group curves / ",""),IF(AS70="Yes",AU70,""))="","Not evaluated",CONCATENATE(IF(AS65="Yes","C-Statistic / ",""),IF(AS66="Yes","D-Statistics / ",""),IF(AS67="Yes","AUC graph / ",""),IF(AS68="Yes","Log-rank test / ",""),IF(AS69="Yes","Risk group curves / ",""),IF(AS70="Yes",AU70,"")))),2)="/ ",LEFT(IF(OR(AS65="",AS66="",AS67="",AS68="",AS69=""),"",IF(CONCATENATE(IF(AS65="Yes","C-Statistic / ",""),IF(AS66="Yes","D-Statistics / ",""),IF(AS67="Yes","AUC graph / ",""),IF(AS68="Yes","Log-rank test / ",""),IF(AS69="Yes","Risk group curves / ",""),IF(AS70="Yes",AU70,""))="","Not evaluated",CONCATENATE(IF(AS65="Yes","C-Statistic / ",""),IF(AS66="Yes","D-Statistics / ",""),IF(AS67="Yes","AUC graph / ",""),IF(AS68="Yes","Log-rank test / ",""),IF(AS69="Yes","Risk group curves / ",""),IF(AS70="Yes",AU70,"")))),LEN(IF(OR(AS65="",AS66="",AS67="",AS68="",AS69=""),"",IF(CONCATENATE(IF(AS65="Yes","C-Statistic / ",""),IF(AS66="Yes","D-Statistics / ",""),IF(AS67="Yes","AUC graph / ",""),IF(AS68="Yes","Log-rank test / ",""),IF(AS69="Yes","Risk group curves / ",""),IF(AS70="Yes",AU70,""))="","Not evaluated",CONCATENATE(IF(AS65="Yes","C-Statistic / ",""),IF(AS66="Yes","D-Statistics / ",""),IF(AS67="Yes","AUC graph / ",""),IF(AS68="Yes","Log-rank test / ",""),IF(AS69="Yes","Risk group curves / ",""),IF(AS70="Yes",AU70,"")))))-2),IF(OR(AS65="",AS66="",AS67="",AS68="",AS69=""),"",IF(CONCATENATE(IF(AS65="Yes","C-Statistic / ",""),IF(AS66="Yes","D-Statistics / ",""),IF(AS67="Yes","AUC graph / ",""),IF(AS68="Yes","Log-rank test / ",""),IF(AS69="Yes","Risk group curves / ",""),IF(AS70="Yes",AU70,""))="","Not evaluated",CONCATENATE(IF(AS65="Yes","C-Statistic / ",""),IF(AS66="Yes","D-Statistics / ",""),IF(AS67="Yes","AUC graph / ",""),IF(AS68="Yes","Log-rank test / ",""),IF(AS69="Yes","Risk group curves / ",""),IF(AS70="Yes",AU70,"")))))</f>
        <v/>
      </c>
      <c r="AT64" s="333"/>
      <c r="AU64" s="333"/>
      <c r="AV64" s="332" t="str">
        <f>IF(RIGHT(IF(OR(AV65="",AV66="",AV67="",AV68="",AV69=""),"",IF(CONCATENATE(IF(AV65="Yes","C-Statistic / ",""),IF(AV66="Yes","D-Statistics / ",""),IF(AV67="Yes","AUC graph / ",""),IF(AV68="Yes","Log-rank test / ",""),IF(AV69="Yes","Risk group curves / ",""),IF(AV70="Yes",AX70,""))="","Not evaluated",CONCATENATE(IF(AV65="Yes","C-Statistic / ",""),IF(AV66="Yes","D-Statistics / ",""),IF(AV67="Yes","AUC graph / ",""),IF(AV68="Yes","Log-rank test / ",""),IF(AV69="Yes","Risk group curves / ",""),IF(AV70="Yes",AX70,"")))),2)="/ ",LEFT(IF(OR(AV65="",AV66="",AV67="",AV68="",AV69=""),"",IF(CONCATENATE(IF(AV65="Yes","C-Statistic / ",""),IF(AV66="Yes","D-Statistics / ",""),IF(AV67="Yes","AUC graph / ",""),IF(AV68="Yes","Log-rank test / ",""),IF(AV69="Yes","Risk group curves / ",""),IF(AV70="Yes",AX70,""))="","Not evaluated",CONCATENATE(IF(AV65="Yes","C-Statistic / ",""),IF(AV66="Yes","D-Statistics / ",""),IF(AV67="Yes","AUC graph / ",""),IF(AV68="Yes","Log-rank test / ",""),IF(AV69="Yes","Risk group curves / ",""),IF(AV70="Yes",AX70,"")))),LEN(IF(OR(AV65="",AV66="",AV67="",AV68="",AV69=""),"",IF(CONCATENATE(IF(AV65="Yes","C-Statistic / ",""),IF(AV66="Yes","D-Statistics / ",""),IF(AV67="Yes","AUC graph / ",""),IF(AV68="Yes","Log-rank test / ",""),IF(AV69="Yes","Risk group curves / ",""),IF(AV70="Yes",AX70,""))="","Not evaluated",CONCATENATE(IF(AV65="Yes","C-Statistic / ",""),IF(AV66="Yes","D-Statistics / ",""),IF(AV67="Yes","AUC graph / ",""),IF(AV68="Yes","Log-rank test / ",""),IF(AV69="Yes","Risk group curves / ",""),IF(AV70="Yes",AX70,"")))))-2),IF(OR(AV65="",AV66="",AV67="",AV68="",AV69=""),"",IF(CONCATENATE(IF(AV65="Yes","C-Statistic / ",""),IF(AV66="Yes","D-Statistics / ",""),IF(AV67="Yes","AUC graph / ",""),IF(AV68="Yes","Log-rank test / ",""),IF(AV69="Yes","Risk group curves / ",""),IF(AV70="Yes",AX70,""))="","Not evaluated",CONCATENATE(IF(AV65="Yes","C-Statistic / ",""),IF(AV66="Yes","D-Statistics / ",""),IF(AV67="Yes","AUC graph / ",""),IF(AV68="Yes","Log-rank test / ",""),IF(AV69="Yes","Risk group curves / ",""),IF(AV70="Yes",AX70,"")))))</f>
        <v/>
      </c>
      <c r="AW64" s="333"/>
      <c r="AX64" s="333"/>
      <c r="AY64" s="332" t="str">
        <f>IF(RIGHT(IF(OR(AY65="",AY66="",AY67="",AY68="",AY69=""),"",IF(CONCATENATE(IF(AY65="Yes","C-Statistic / ",""),IF(AY66="Yes","D-Statistics / ",""),IF(AY67="Yes","AUC graph / ",""),IF(AY68="Yes","Log-rank test / ",""),IF(AY69="Yes","Risk group curves / ",""),IF(AY70="Yes",BA70,""))="","Not evaluated",CONCATENATE(IF(AY65="Yes","C-Statistic / ",""),IF(AY66="Yes","D-Statistics / ",""),IF(AY67="Yes","AUC graph / ",""),IF(AY68="Yes","Log-rank test / ",""),IF(AY69="Yes","Risk group curves / ",""),IF(AY70="Yes",BA70,"")))),2)="/ ",LEFT(IF(OR(AY65="",AY66="",AY67="",AY68="",AY69=""),"",IF(CONCATENATE(IF(AY65="Yes","C-Statistic / ",""),IF(AY66="Yes","D-Statistics / ",""),IF(AY67="Yes","AUC graph / ",""),IF(AY68="Yes","Log-rank test / ",""),IF(AY69="Yes","Risk group curves / ",""),IF(AY70="Yes",BA70,""))="","Not evaluated",CONCATENATE(IF(AY65="Yes","C-Statistic / ",""),IF(AY66="Yes","D-Statistics / ",""),IF(AY67="Yes","AUC graph / ",""),IF(AY68="Yes","Log-rank test / ",""),IF(AY69="Yes","Risk group curves / ",""),IF(AY70="Yes",BA70,"")))),LEN(IF(OR(AY65="",AY66="",AY67="",AY68="",AY69=""),"",IF(CONCATENATE(IF(AY65="Yes","C-Statistic / ",""),IF(AY66="Yes","D-Statistics / ",""),IF(AY67="Yes","AUC graph / ",""),IF(AY68="Yes","Log-rank test / ",""),IF(AY69="Yes","Risk group curves / ",""),IF(AY70="Yes",BA70,""))="","Not evaluated",CONCATENATE(IF(AY65="Yes","C-Statistic / ",""),IF(AY66="Yes","D-Statistics / ",""),IF(AY67="Yes","AUC graph / ",""),IF(AY68="Yes","Log-rank test / ",""),IF(AY69="Yes","Risk group curves / ",""),IF(AY70="Yes",BA70,"")))))-2),IF(OR(AY65="",AY66="",AY67="",AY68="",AY69=""),"",IF(CONCATENATE(IF(AY65="Yes","C-Statistic / ",""),IF(AY66="Yes","D-Statistics / ",""),IF(AY67="Yes","AUC graph / ",""),IF(AY68="Yes","Log-rank test / ",""),IF(AY69="Yes","Risk group curves / ",""),IF(AY70="Yes",BA70,""))="","Not evaluated",CONCATENATE(IF(AY65="Yes","C-Statistic / ",""),IF(AY66="Yes","D-Statistics / ",""),IF(AY67="Yes","AUC graph / ",""),IF(AY68="Yes","Log-rank test / ",""),IF(AY69="Yes","Risk group curves / ",""),IF(AY70="Yes",BA70,"")))))</f>
        <v/>
      </c>
      <c r="AZ64" s="333"/>
      <c r="BA64" s="333"/>
      <c r="BB64" s="332" t="str">
        <f>IF(RIGHT(IF(OR(BB65="",BB66="",BB67="",BB68="",BB69=""),"",IF(CONCATENATE(IF(BB65="Yes","C-Statistic / ",""),IF(BB66="Yes","D-Statistics / ",""),IF(BB67="Yes","AUC graph / ",""),IF(BB68="Yes","Log-rank test / ",""),IF(BB69="Yes","Risk group curves / ",""),IF(BB70="Yes",BD70,""))="","Not evaluated",CONCATENATE(IF(BB65="Yes","C-Statistic / ",""),IF(BB66="Yes","D-Statistics / ",""),IF(BB67="Yes","AUC graph / ",""),IF(BB68="Yes","Log-rank test / ",""),IF(BB69="Yes","Risk group curves / ",""),IF(BB70="Yes",BD70,"")))),2)="/ ",LEFT(IF(OR(BB65="",BB66="",BB67="",BB68="",BB69=""),"",IF(CONCATENATE(IF(BB65="Yes","C-Statistic / ",""),IF(BB66="Yes","D-Statistics / ",""),IF(BB67="Yes","AUC graph / ",""),IF(BB68="Yes","Log-rank test / ",""),IF(BB69="Yes","Risk group curves / ",""),IF(BB70="Yes",BD70,""))="","Not evaluated",CONCATENATE(IF(BB65="Yes","C-Statistic / ",""),IF(BB66="Yes","D-Statistics / ",""),IF(BB67="Yes","AUC graph / ",""),IF(BB68="Yes","Log-rank test / ",""),IF(BB69="Yes","Risk group curves / ",""),IF(BB70="Yes",BD70,"")))),LEN(IF(OR(BB65="",BB66="",BB67="",BB68="",BB69=""),"",IF(CONCATENATE(IF(BB65="Yes","C-Statistic / ",""),IF(BB66="Yes","D-Statistics / ",""),IF(BB67="Yes","AUC graph / ",""),IF(BB68="Yes","Log-rank test / ",""),IF(BB69="Yes","Risk group curves / ",""),IF(BB70="Yes",BD70,""))="","Not evaluated",CONCATENATE(IF(BB65="Yes","C-Statistic / ",""),IF(BB66="Yes","D-Statistics / ",""),IF(BB67="Yes","AUC graph / ",""),IF(BB68="Yes","Log-rank test / ",""),IF(BB69="Yes","Risk group curves / ",""),IF(BB70="Yes",BD70,"")))))-2),IF(OR(BB65="",BB66="",BB67="",BB68="",BB69=""),"",IF(CONCATENATE(IF(BB65="Yes","C-Statistic / ",""),IF(BB66="Yes","D-Statistics / ",""),IF(BB67="Yes","AUC graph / ",""),IF(BB68="Yes","Log-rank test / ",""),IF(BB69="Yes","Risk group curves / ",""),IF(BB70="Yes",BD70,""))="","Not evaluated",CONCATENATE(IF(BB65="Yes","C-Statistic / ",""),IF(BB66="Yes","D-Statistics / ",""),IF(BB67="Yes","AUC graph / ",""),IF(BB68="Yes","Log-rank test / ",""),IF(BB69="Yes","Risk group curves / ",""),IF(BB70="Yes",BD70,"")))))</f>
        <v/>
      </c>
      <c r="BC64" s="333"/>
      <c r="BD64" s="333"/>
      <c r="BE64" s="332" t="str">
        <f>IF(RIGHT(IF(OR(BE65="",BE66="",BE67="",BE68="",BE69=""),"",IF(CONCATENATE(IF(BE65="Yes","C-Statistic / ",""),IF(BE66="Yes","D-Statistics / ",""),IF(BE67="Yes","AUC graph / ",""),IF(BE68="Yes","Log-rank test / ",""),IF(BE69="Yes","Risk group curves / ",""),IF(BE70="Yes",BG70,""))="","Not evaluated",CONCATENATE(IF(BE65="Yes","C-Statistic / ",""),IF(BE66="Yes","D-Statistics / ",""),IF(BE67="Yes","AUC graph / ",""),IF(BE68="Yes","Log-rank test / ",""),IF(BE69="Yes","Risk group curves / ",""),IF(BE70="Yes",BG70,"")))),2)="/ ",LEFT(IF(OR(BE65="",BE66="",BE67="",BE68="",BE69=""),"",IF(CONCATENATE(IF(BE65="Yes","C-Statistic / ",""),IF(BE66="Yes","D-Statistics / ",""),IF(BE67="Yes","AUC graph / ",""),IF(BE68="Yes","Log-rank test / ",""),IF(BE69="Yes","Risk group curves / ",""),IF(BE70="Yes",BG70,""))="","Not evaluated",CONCATENATE(IF(BE65="Yes","C-Statistic / ",""),IF(BE66="Yes","D-Statistics / ",""),IF(BE67="Yes","AUC graph / ",""),IF(BE68="Yes","Log-rank test / ",""),IF(BE69="Yes","Risk group curves / ",""),IF(BE70="Yes",BG70,"")))),LEN(IF(OR(BE65="",BE66="",BE67="",BE68="",BE69=""),"",IF(CONCATENATE(IF(BE65="Yes","C-Statistic / ",""),IF(BE66="Yes","D-Statistics / ",""),IF(BE67="Yes","AUC graph / ",""),IF(BE68="Yes","Log-rank test / ",""),IF(BE69="Yes","Risk group curves / ",""),IF(BE70="Yes",BG70,""))="","Not evaluated",CONCATENATE(IF(BE65="Yes","C-Statistic / ",""),IF(BE66="Yes","D-Statistics / ",""),IF(BE67="Yes","AUC graph / ",""),IF(BE68="Yes","Log-rank test / ",""),IF(BE69="Yes","Risk group curves / ",""),IF(BE70="Yes",BG70,"")))))-2),IF(OR(BE65="",BE66="",BE67="",BE68="",BE69=""),"",IF(CONCATENATE(IF(BE65="Yes","C-Statistic / ",""),IF(BE66="Yes","D-Statistics / ",""),IF(BE67="Yes","AUC graph / ",""),IF(BE68="Yes","Log-rank test / ",""),IF(BE69="Yes","Risk group curves / ",""),IF(BE70="Yes",BG70,""))="","Not evaluated",CONCATENATE(IF(BE65="Yes","C-Statistic / ",""),IF(BE66="Yes","D-Statistics / ",""),IF(BE67="Yes","AUC graph / ",""),IF(BE68="Yes","Log-rank test / ",""),IF(BE69="Yes","Risk group curves / ",""),IF(BE70="Yes",BG70,"")))))</f>
        <v/>
      </c>
      <c r="BF64" s="333"/>
      <c r="BG64" s="333"/>
      <c r="BH64" s="332" t="str">
        <f>IF(RIGHT(IF(OR(BH65="",BH66="",BH67="",BH68="",BH69=""),"",IF(CONCATENATE(IF(BH65="Yes","C-Statistic / ",""),IF(BH66="Yes","D-Statistics / ",""),IF(BH67="Yes","AUC graph / ",""),IF(BH68="Yes","Log-rank test / ",""),IF(BH69="Yes","Risk group curves / ",""),IF(BH70="Yes",BJ70,""))="","Not evaluated",CONCATENATE(IF(BH65="Yes","C-Statistic / ",""),IF(BH66="Yes","D-Statistics / ",""),IF(BH67="Yes","AUC graph / ",""),IF(BH68="Yes","Log-rank test / ",""),IF(BH69="Yes","Risk group curves / ",""),IF(BH70="Yes",BJ70,"")))),2)="/ ",LEFT(IF(OR(BH65="",BH66="",BH67="",BH68="",BH69=""),"",IF(CONCATENATE(IF(BH65="Yes","C-Statistic / ",""),IF(BH66="Yes","D-Statistics / ",""),IF(BH67="Yes","AUC graph / ",""),IF(BH68="Yes","Log-rank test / ",""),IF(BH69="Yes","Risk group curves / ",""),IF(BH70="Yes",BJ70,""))="","Not evaluated",CONCATENATE(IF(BH65="Yes","C-Statistic / ",""),IF(BH66="Yes","D-Statistics / ",""),IF(BH67="Yes","AUC graph / ",""),IF(BH68="Yes","Log-rank test / ",""),IF(BH69="Yes","Risk group curves / ",""),IF(BH70="Yes",BJ70,"")))),LEN(IF(OR(BH65="",BH66="",BH67="",BH68="",BH69=""),"",IF(CONCATENATE(IF(BH65="Yes","C-Statistic / ",""),IF(BH66="Yes","D-Statistics / ",""),IF(BH67="Yes","AUC graph / ",""),IF(BH68="Yes","Log-rank test / ",""),IF(BH69="Yes","Risk group curves / ",""),IF(BH70="Yes",BJ70,""))="","Not evaluated",CONCATENATE(IF(BH65="Yes","C-Statistic / ",""),IF(BH66="Yes","D-Statistics / ",""),IF(BH67="Yes","AUC graph / ",""),IF(BH68="Yes","Log-rank test / ",""),IF(BH69="Yes","Risk group curves / ",""),IF(BH70="Yes",BJ70,"")))))-2),IF(OR(BH65="",BH66="",BH67="",BH68="",BH69=""),"",IF(CONCATENATE(IF(BH65="Yes","C-Statistic / ",""),IF(BH66="Yes","D-Statistics / ",""),IF(BH67="Yes","AUC graph / ",""),IF(BH68="Yes","Log-rank test / ",""),IF(BH69="Yes","Risk group curves / ",""),IF(BH70="Yes",BJ70,""))="","Not evaluated",CONCATENATE(IF(BH65="Yes","C-Statistic / ",""),IF(BH66="Yes","D-Statistics / ",""),IF(BH67="Yes","AUC graph / ",""),IF(BH68="Yes","Log-rank test / ",""),IF(BH69="Yes","Risk group curves / ",""),IF(BH70="Yes",BJ70,"")))))</f>
        <v/>
      </c>
      <c r="BI64" s="333"/>
      <c r="BJ64" s="333"/>
      <c r="BK64" s="332" t="str">
        <f>IF(RIGHT(IF(OR(BK65="",BK66="",BK67="",BK68="",BK69=""),"",IF(CONCATENATE(IF(BK65="Yes","C-Statistic / ",""),IF(BK66="Yes","D-Statistics / ",""),IF(BK67="Yes","AUC graph / ",""),IF(BK68="Yes","Log-rank test / ",""),IF(BK69="Yes","Risk group curves / ",""),IF(BK70="Yes",BM70,""))="","Not evaluated",CONCATENATE(IF(BK65="Yes","C-Statistic / ",""),IF(BK66="Yes","D-Statistics / ",""),IF(BK67="Yes","AUC graph / ",""),IF(BK68="Yes","Log-rank test / ",""),IF(BK69="Yes","Risk group curves / ",""),IF(BK70="Yes",BM70,"")))),2)="/ ",LEFT(IF(OR(BK65="",BK66="",BK67="",BK68="",BK69=""),"",IF(CONCATENATE(IF(BK65="Yes","C-Statistic / ",""),IF(BK66="Yes","D-Statistics / ",""),IF(BK67="Yes","AUC graph / ",""),IF(BK68="Yes","Log-rank test / ",""),IF(BK69="Yes","Risk group curves / ",""),IF(BK70="Yes",BM70,""))="","Not evaluated",CONCATENATE(IF(BK65="Yes","C-Statistic / ",""),IF(BK66="Yes","D-Statistics / ",""),IF(BK67="Yes","AUC graph / ",""),IF(BK68="Yes","Log-rank test / ",""),IF(BK69="Yes","Risk group curves / ",""),IF(BK70="Yes",BM70,"")))),LEN(IF(OR(BK65="",BK66="",BK67="",BK68="",BK69=""),"",IF(CONCATENATE(IF(BK65="Yes","C-Statistic / ",""),IF(BK66="Yes","D-Statistics / ",""),IF(BK67="Yes","AUC graph / ",""),IF(BK68="Yes","Log-rank test / ",""),IF(BK69="Yes","Risk group curves / ",""),IF(BK70="Yes",BM70,""))="","Not evaluated",CONCATENATE(IF(BK65="Yes","C-Statistic / ",""),IF(BK66="Yes","D-Statistics / ",""),IF(BK67="Yes","AUC graph / ",""),IF(BK68="Yes","Log-rank test / ",""),IF(BK69="Yes","Risk group curves / ",""),IF(BK70="Yes",BM70,"")))))-2),IF(OR(BK65="",BK66="",BK67="",BK68="",BK69=""),"",IF(CONCATENATE(IF(BK65="Yes","C-Statistic / ",""),IF(BK66="Yes","D-Statistics / ",""),IF(BK67="Yes","AUC graph / ",""),IF(BK68="Yes","Log-rank test / ",""),IF(BK69="Yes","Risk group curves / ",""),IF(BK70="Yes",BM70,""))="","Not evaluated",CONCATENATE(IF(BK65="Yes","C-Statistic / ",""),IF(BK66="Yes","D-Statistics / ",""),IF(BK67="Yes","AUC graph / ",""),IF(BK68="Yes","Log-rank test / ",""),IF(BK69="Yes","Risk group curves / ",""),IF(BK70="Yes",BM70,"")))))</f>
        <v/>
      </c>
      <c r="BL64" s="333"/>
      <c r="BM64" s="333"/>
      <c r="BN64" s="332" t="str">
        <f>IF(RIGHT(IF(OR(BN65="",BN66="",BN67="",BN68="",BN69=""),"",IF(CONCATENATE(IF(BN65="Yes","C-Statistic / ",""),IF(BN66="Yes","D-Statistics / ",""),IF(BN67="Yes","AUC graph / ",""),IF(BN68="Yes","Log-rank test / ",""),IF(BN69="Yes","Risk group curves / ",""),IF(BN70="Yes",BP70,""))="","Not evaluated",CONCATENATE(IF(BN65="Yes","C-Statistic / ",""),IF(BN66="Yes","D-Statistics / ",""),IF(BN67="Yes","AUC graph / ",""),IF(BN68="Yes","Log-rank test / ",""),IF(BN69="Yes","Risk group curves / ",""),IF(BN70="Yes",BP70,"")))),2)="/ ",LEFT(IF(OR(BN65="",BN66="",BN67="",BN68="",BN69=""),"",IF(CONCATENATE(IF(BN65="Yes","C-Statistic / ",""),IF(BN66="Yes","D-Statistics / ",""),IF(BN67="Yes","AUC graph / ",""),IF(BN68="Yes","Log-rank test / ",""),IF(BN69="Yes","Risk group curves / ",""),IF(BN70="Yes",BP70,""))="","Not evaluated",CONCATENATE(IF(BN65="Yes","C-Statistic / ",""),IF(BN66="Yes","D-Statistics / ",""),IF(BN67="Yes","AUC graph / ",""),IF(BN68="Yes","Log-rank test / ",""),IF(BN69="Yes","Risk group curves / ",""),IF(BN70="Yes",BP70,"")))),LEN(IF(OR(BN65="",BN66="",BN67="",BN68="",BN69=""),"",IF(CONCATENATE(IF(BN65="Yes","C-Statistic / ",""),IF(BN66="Yes","D-Statistics / ",""),IF(BN67="Yes","AUC graph / ",""),IF(BN68="Yes","Log-rank test / ",""),IF(BN69="Yes","Risk group curves / ",""),IF(BN70="Yes",BP70,""))="","Not evaluated",CONCATENATE(IF(BN65="Yes","C-Statistic / ",""),IF(BN66="Yes","D-Statistics / ",""),IF(BN67="Yes","AUC graph / ",""),IF(BN68="Yes","Log-rank test / ",""),IF(BN69="Yes","Risk group curves / ",""),IF(BN70="Yes",BP70,"")))))-2),IF(OR(BN65="",BN66="",BN67="",BN68="",BN69=""),"",IF(CONCATENATE(IF(BN65="Yes","C-Statistic / ",""),IF(BN66="Yes","D-Statistics / ",""),IF(BN67="Yes","AUC graph / ",""),IF(BN68="Yes","Log-rank test / ",""),IF(BN69="Yes","Risk group curves / ",""),IF(BN70="Yes",BP70,""))="","Not evaluated",CONCATENATE(IF(BN65="Yes","C-Statistic / ",""),IF(BN66="Yes","D-Statistics / ",""),IF(BN67="Yes","AUC graph / ",""),IF(BN68="Yes","Log-rank test / ",""),IF(BN69="Yes","Risk group curves / ",""),IF(BN70="Yes",BP70,"")))))</f>
        <v/>
      </c>
      <c r="BO64" s="333"/>
      <c r="BP64" s="333"/>
      <c r="BQ64" s="332" t="str">
        <f>IF(RIGHT(IF(OR(BQ65="",BQ66="",BQ67="",BQ68="",BQ69=""),"",IF(CONCATENATE(IF(BQ65="Yes","C-Statistic / ",""),IF(BQ66="Yes","D-Statistics / ",""),IF(BQ67="Yes","AUC graph / ",""),IF(BQ68="Yes","Log-rank test / ",""),IF(BQ69="Yes","Risk group curves / ",""),IF(BQ70="Yes",BS70,""))="","Not evaluated",CONCATENATE(IF(BQ65="Yes","C-Statistic / ",""),IF(BQ66="Yes","D-Statistics / ",""),IF(BQ67="Yes","AUC graph / ",""),IF(BQ68="Yes","Log-rank test / ",""),IF(BQ69="Yes","Risk group curves / ",""),IF(BQ70="Yes",BS70,"")))),2)="/ ",LEFT(IF(OR(BQ65="",BQ66="",BQ67="",BQ68="",BQ69=""),"",IF(CONCATENATE(IF(BQ65="Yes","C-Statistic / ",""),IF(BQ66="Yes","D-Statistics / ",""),IF(BQ67="Yes","AUC graph / ",""),IF(BQ68="Yes","Log-rank test / ",""),IF(BQ69="Yes","Risk group curves / ",""),IF(BQ70="Yes",BS70,""))="","Not evaluated",CONCATENATE(IF(BQ65="Yes","C-Statistic / ",""),IF(BQ66="Yes","D-Statistics / ",""),IF(BQ67="Yes","AUC graph / ",""),IF(BQ68="Yes","Log-rank test / ",""),IF(BQ69="Yes","Risk group curves / ",""),IF(BQ70="Yes",BS70,"")))),LEN(IF(OR(BQ65="",BQ66="",BQ67="",BQ68="",BQ69=""),"",IF(CONCATENATE(IF(BQ65="Yes","C-Statistic / ",""),IF(BQ66="Yes","D-Statistics / ",""),IF(BQ67="Yes","AUC graph / ",""),IF(BQ68="Yes","Log-rank test / ",""),IF(BQ69="Yes","Risk group curves / ",""),IF(BQ70="Yes",BS70,""))="","Not evaluated",CONCATENATE(IF(BQ65="Yes","C-Statistic / ",""),IF(BQ66="Yes","D-Statistics / ",""),IF(BQ67="Yes","AUC graph / ",""),IF(BQ68="Yes","Log-rank test / ",""),IF(BQ69="Yes","Risk group curves / ",""),IF(BQ70="Yes",BS70,"")))))-2),IF(OR(BQ65="",BQ66="",BQ67="",BQ68="",BQ69=""),"",IF(CONCATENATE(IF(BQ65="Yes","C-Statistic / ",""),IF(BQ66="Yes","D-Statistics / ",""),IF(BQ67="Yes","AUC graph / ",""),IF(BQ68="Yes","Log-rank test / ",""),IF(BQ69="Yes","Risk group curves / ",""),IF(BQ70="Yes",BS70,""))="","Not evaluated",CONCATENATE(IF(BQ65="Yes","C-Statistic / ",""),IF(BQ66="Yes","D-Statistics / ",""),IF(BQ67="Yes","AUC graph / ",""),IF(BQ68="Yes","Log-rank test / ",""),IF(BQ69="Yes","Risk group curves / ",""),IF(BQ70="Yes",BS70,"")))))</f>
        <v/>
      </c>
      <c r="BR64" s="333"/>
      <c r="BS64" s="333"/>
      <c r="BT64" s="332" t="str">
        <f>IF(RIGHT(IF(OR(BT65="",BT66="",BT67="",BT68="",BT69=""),"",IF(CONCATENATE(IF(BT65="Yes","C-Statistic / ",""),IF(BT66="Yes","D-Statistics / ",""),IF(BT67="Yes","AUC graph / ",""),IF(BT68="Yes","Log-rank test / ",""),IF(BT69="Yes","Risk group curves / ",""),IF(BT70="Yes",BV70,""))="","Not evaluated",CONCATENATE(IF(BT65="Yes","C-Statistic / ",""),IF(BT66="Yes","D-Statistics / ",""),IF(BT67="Yes","AUC graph / ",""),IF(BT68="Yes","Log-rank test / ",""),IF(BT69="Yes","Risk group curves / ",""),IF(BT70="Yes",BV70,"")))),2)="/ ",LEFT(IF(OR(BT65="",BT66="",BT67="",BT68="",BT69=""),"",IF(CONCATENATE(IF(BT65="Yes","C-Statistic / ",""),IF(BT66="Yes","D-Statistics / ",""),IF(BT67="Yes","AUC graph / ",""),IF(BT68="Yes","Log-rank test / ",""),IF(BT69="Yes","Risk group curves / ",""),IF(BT70="Yes",BV70,""))="","Not evaluated",CONCATENATE(IF(BT65="Yes","C-Statistic / ",""),IF(BT66="Yes","D-Statistics / ",""),IF(BT67="Yes","AUC graph / ",""),IF(BT68="Yes","Log-rank test / ",""),IF(BT69="Yes","Risk group curves / ",""),IF(BT70="Yes",BV70,"")))),LEN(IF(OR(BT65="",BT66="",BT67="",BT68="",BT69=""),"",IF(CONCATENATE(IF(BT65="Yes","C-Statistic / ",""),IF(BT66="Yes","D-Statistics / ",""),IF(BT67="Yes","AUC graph / ",""),IF(BT68="Yes","Log-rank test / ",""),IF(BT69="Yes","Risk group curves / ",""),IF(BT70="Yes",BV70,""))="","Not evaluated",CONCATENATE(IF(BT65="Yes","C-Statistic / ",""),IF(BT66="Yes","D-Statistics / ",""),IF(BT67="Yes","AUC graph / ",""),IF(BT68="Yes","Log-rank test / ",""),IF(BT69="Yes","Risk group curves / ",""),IF(BT70="Yes",BV70,"")))))-2),IF(OR(BT65="",BT66="",BT67="",BT68="",BT69=""),"",IF(CONCATENATE(IF(BT65="Yes","C-Statistic / ",""),IF(BT66="Yes","D-Statistics / ",""),IF(BT67="Yes","AUC graph / ",""),IF(BT68="Yes","Log-rank test / ",""),IF(BT69="Yes","Risk group curves / ",""),IF(BT70="Yes",BV70,""))="","Not evaluated",CONCATENATE(IF(BT65="Yes","C-Statistic / ",""),IF(BT66="Yes","D-Statistics / ",""),IF(BT67="Yes","AUC graph / ",""),IF(BT68="Yes","Log-rank test / ",""),IF(BT69="Yes","Risk group curves / ",""),IF(BT70="Yes",BV70,"")))))</f>
        <v/>
      </c>
      <c r="BU64" s="333"/>
      <c r="BV64" s="333"/>
      <c r="BW64" s="332" t="str">
        <f>IF(RIGHT(IF(OR(BW65="",BW66="",BW67="",BW68="",BW69=""),"",IF(CONCATENATE(IF(BW65="Yes","C-Statistic / ",""),IF(BW66="Yes","D-Statistics / ",""),IF(BW67="Yes","AUC graph / ",""),IF(BW68="Yes","Log-rank test / ",""),IF(BW69="Yes","Risk group curves / ",""),IF(BW70="Yes",BY70,""))="","Not evaluated",CONCATENATE(IF(BW65="Yes","C-Statistic / ",""),IF(BW66="Yes","D-Statistics / ",""),IF(BW67="Yes","AUC graph / ",""),IF(BW68="Yes","Log-rank test / ",""),IF(BW69="Yes","Risk group curves / ",""),IF(BW70="Yes",BY70,"")))),2)="/ ",LEFT(IF(OR(BW65="",BW66="",BW67="",BW68="",BW69=""),"",IF(CONCATENATE(IF(BW65="Yes","C-Statistic / ",""),IF(BW66="Yes","D-Statistics / ",""),IF(BW67="Yes","AUC graph / ",""),IF(BW68="Yes","Log-rank test / ",""),IF(BW69="Yes","Risk group curves / ",""),IF(BW70="Yes",BY70,""))="","Not evaluated",CONCATENATE(IF(BW65="Yes","C-Statistic / ",""),IF(BW66="Yes","D-Statistics / ",""),IF(BW67="Yes","AUC graph / ",""),IF(BW68="Yes","Log-rank test / ",""),IF(BW69="Yes","Risk group curves / ",""),IF(BW70="Yes",BY70,"")))),LEN(IF(OR(BW65="",BW66="",BW67="",BW68="",BW69=""),"",IF(CONCATENATE(IF(BW65="Yes","C-Statistic / ",""),IF(BW66="Yes","D-Statistics / ",""),IF(BW67="Yes","AUC graph / ",""),IF(BW68="Yes","Log-rank test / ",""),IF(BW69="Yes","Risk group curves / ",""),IF(BW70="Yes",BY70,""))="","Not evaluated",CONCATENATE(IF(BW65="Yes","C-Statistic / ",""),IF(BW66="Yes","D-Statistics / ",""),IF(BW67="Yes","AUC graph / ",""),IF(BW68="Yes","Log-rank test / ",""),IF(BW69="Yes","Risk group curves / ",""),IF(BW70="Yes",BY70,"")))))-2),IF(OR(BW65="",BW66="",BW67="",BW68="",BW69=""),"",IF(CONCATENATE(IF(BW65="Yes","C-Statistic / ",""),IF(BW66="Yes","D-Statistics / ",""),IF(BW67="Yes","AUC graph / ",""),IF(BW68="Yes","Log-rank test / ",""),IF(BW69="Yes","Risk group curves / ",""),IF(BW70="Yes",BY70,""))="","Not evaluated",CONCATENATE(IF(BW65="Yes","C-Statistic / ",""),IF(BW66="Yes","D-Statistics / ",""),IF(BW67="Yes","AUC graph / ",""),IF(BW68="Yes","Log-rank test / ",""),IF(BW69="Yes","Risk group curves / ",""),IF(BW70="Yes",BY70,"")))))</f>
        <v/>
      </c>
      <c r="BX64" s="333"/>
      <c r="BY64" s="333"/>
      <c r="BZ64" s="332" t="str">
        <f>IF(RIGHT(IF(OR(BZ65="",BZ66="",BZ67="",BZ68="",BZ69=""),"",IF(CONCATENATE(IF(BZ65="Yes","C-Statistic / ",""),IF(BZ66="Yes","D-Statistics / ",""),IF(BZ67="Yes","AUC graph / ",""),IF(BZ68="Yes","Log-rank test / ",""),IF(BZ69="Yes","Risk group curves / ",""),IF(BZ70="Yes",CB70,""))="","Not evaluated",CONCATENATE(IF(BZ65="Yes","C-Statistic / ",""),IF(BZ66="Yes","D-Statistics / ",""),IF(BZ67="Yes","AUC graph / ",""),IF(BZ68="Yes","Log-rank test / ",""),IF(BZ69="Yes","Risk group curves / ",""),IF(BZ70="Yes",CB70,"")))),2)="/ ",LEFT(IF(OR(BZ65="",BZ66="",BZ67="",BZ68="",BZ69=""),"",IF(CONCATENATE(IF(BZ65="Yes","C-Statistic / ",""),IF(BZ66="Yes","D-Statistics / ",""),IF(BZ67="Yes","AUC graph / ",""),IF(BZ68="Yes","Log-rank test / ",""),IF(BZ69="Yes","Risk group curves / ",""),IF(BZ70="Yes",CB70,""))="","Not evaluated",CONCATENATE(IF(BZ65="Yes","C-Statistic / ",""),IF(BZ66="Yes","D-Statistics / ",""),IF(BZ67="Yes","AUC graph / ",""),IF(BZ68="Yes","Log-rank test / ",""),IF(BZ69="Yes","Risk group curves / ",""),IF(BZ70="Yes",CB70,"")))),LEN(IF(OR(BZ65="",BZ66="",BZ67="",BZ68="",BZ69=""),"",IF(CONCATENATE(IF(BZ65="Yes","C-Statistic / ",""),IF(BZ66="Yes","D-Statistics / ",""),IF(BZ67="Yes","AUC graph / ",""),IF(BZ68="Yes","Log-rank test / ",""),IF(BZ69="Yes","Risk group curves / ",""),IF(BZ70="Yes",CB70,""))="","Not evaluated",CONCATENATE(IF(BZ65="Yes","C-Statistic / ",""),IF(BZ66="Yes","D-Statistics / ",""),IF(BZ67="Yes","AUC graph / ",""),IF(BZ68="Yes","Log-rank test / ",""),IF(BZ69="Yes","Risk group curves / ",""),IF(BZ70="Yes",CB70,"")))))-2),IF(OR(BZ65="",BZ66="",BZ67="",BZ68="",BZ69=""),"",IF(CONCATENATE(IF(BZ65="Yes","C-Statistic / ",""),IF(BZ66="Yes","D-Statistics / ",""),IF(BZ67="Yes","AUC graph / ",""),IF(BZ68="Yes","Log-rank test / ",""),IF(BZ69="Yes","Risk group curves / ",""),IF(BZ70="Yes",CB70,""))="","Not evaluated",CONCATENATE(IF(BZ65="Yes","C-Statistic / ",""),IF(BZ66="Yes","D-Statistics / ",""),IF(BZ67="Yes","AUC graph / ",""),IF(BZ68="Yes","Log-rank test / ",""),IF(BZ69="Yes","Risk group curves / ",""),IF(BZ70="Yes",CB70,"")))))</f>
        <v/>
      </c>
      <c r="CA64" s="333"/>
      <c r="CB64" s="333"/>
      <c r="CC64" s="332" t="str">
        <f>IF(RIGHT(IF(OR(CC65="",CC66="",CC67="",CC68="",CC69=""),"",IF(CONCATENATE(IF(CC65="Yes","C-Statistic / ",""),IF(CC66="Yes","D-Statistics / ",""),IF(CC67="Yes","AUC graph / ",""),IF(CC68="Yes","Log-rank test / ",""),IF(CC69="Yes","Risk group curves / ",""),IF(CC70="Yes",CE70,""))="","Not evaluated",CONCATENATE(IF(CC65="Yes","C-Statistic / ",""),IF(CC66="Yes","D-Statistics / ",""),IF(CC67="Yes","AUC graph / ",""),IF(CC68="Yes","Log-rank test / ",""),IF(CC69="Yes","Risk group curves / ",""),IF(CC70="Yes",CE70,"")))),2)="/ ",LEFT(IF(OR(CC65="",CC66="",CC67="",CC68="",CC69=""),"",IF(CONCATENATE(IF(CC65="Yes","C-Statistic / ",""),IF(CC66="Yes","D-Statistics / ",""),IF(CC67="Yes","AUC graph / ",""),IF(CC68="Yes","Log-rank test / ",""),IF(CC69="Yes","Risk group curves / ",""),IF(CC70="Yes",CE70,""))="","Not evaluated",CONCATENATE(IF(CC65="Yes","C-Statistic / ",""),IF(CC66="Yes","D-Statistics / ",""),IF(CC67="Yes","AUC graph / ",""),IF(CC68="Yes","Log-rank test / ",""),IF(CC69="Yes","Risk group curves / ",""),IF(CC70="Yes",CE70,"")))),LEN(IF(OR(CC65="",CC66="",CC67="",CC68="",CC69=""),"",IF(CONCATENATE(IF(CC65="Yes","C-Statistic / ",""),IF(CC66="Yes","D-Statistics / ",""),IF(CC67="Yes","AUC graph / ",""),IF(CC68="Yes","Log-rank test / ",""),IF(CC69="Yes","Risk group curves / ",""),IF(CC70="Yes",CE70,""))="","Not evaluated",CONCATENATE(IF(CC65="Yes","C-Statistic / ",""),IF(CC66="Yes","D-Statistics / ",""),IF(CC67="Yes","AUC graph / ",""),IF(CC68="Yes","Log-rank test / ",""),IF(CC69="Yes","Risk group curves / ",""),IF(CC70="Yes",CE70,"")))))-2),IF(OR(CC65="",CC66="",CC67="",CC68="",CC69=""),"",IF(CONCATENATE(IF(CC65="Yes","C-Statistic / ",""),IF(CC66="Yes","D-Statistics / ",""),IF(CC67="Yes","AUC graph / ",""),IF(CC68="Yes","Log-rank test / ",""),IF(CC69="Yes","Risk group curves / ",""),IF(CC70="Yes",CE70,""))="","Not evaluated",CONCATENATE(IF(CC65="Yes","C-Statistic / ",""),IF(CC66="Yes","D-Statistics / ",""),IF(CC67="Yes","AUC graph / ",""),IF(CC68="Yes","Log-rank test / ",""),IF(CC69="Yes","Risk group curves / ",""),IF(CC70="Yes",CE70,"")))))</f>
        <v/>
      </c>
      <c r="CD64" s="333"/>
      <c r="CE64" s="333"/>
      <c r="CF64" s="332" t="str">
        <f>IF(RIGHT(IF(OR(CF65="",CF66="",CF67="",CF68="",CF69=""),"",IF(CONCATENATE(IF(CF65="Yes","C-Statistic / ",""),IF(CF66="Yes","D-Statistics / ",""),IF(CF67="Yes","AUC graph / ",""),IF(CF68="Yes","Log-rank test / ",""),IF(CF69="Yes","Risk group curves / ",""),IF(CF70="Yes",CH70,""))="","Not evaluated",CONCATENATE(IF(CF65="Yes","C-Statistic / ",""),IF(CF66="Yes","D-Statistics / ",""),IF(CF67="Yes","AUC graph / ",""),IF(CF68="Yes","Log-rank test / ",""),IF(CF69="Yes","Risk group curves / ",""),IF(CF70="Yes",CH70,"")))),2)="/ ",LEFT(IF(OR(CF65="",CF66="",CF67="",CF68="",CF69=""),"",IF(CONCATENATE(IF(CF65="Yes","C-Statistic / ",""),IF(CF66="Yes","D-Statistics / ",""),IF(CF67="Yes","AUC graph / ",""),IF(CF68="Yes","Log-rank test / ",""),IF(CF69="Yes","Risk group curves / ",""),IF(CF70="Yes",CH70,""))="","Not evaluated",CONCATENATE(IF(CF65="Yes","C-Statistic / ",""),IF(CF66="Yes","D-Statistics / ",""),IF(CF67="Yes","AUC graph / ",""),IF(CF68="Yes","Log-rank test / ",""),IF(CF69="Yes","Risk group curves / ",""),IF(CF70="Yes",CH70,"")))),LEN(IF(OR(CF65="",CF66="",CF67="",CF68="",CF69=""),"",IF(CONCATENATE(IF(CF65="Yes","C-Statistic / ",""),IF(CF66="Yes","D-Statistics / ",""),IF(CF67="Yes","AUC graph / ",""),IF(CF68="Yes","Log-rank test / ",""),IF(CF69="Yes","Risk group curves / ",""),IF(CF70="Yes",CH70,""))="","Not evaluated",CONCATENATE(IF(CF65="Yes","C-Statistic / ",""),IF(CF66="Yes","D-Statistics / ",""),IF(CF67="Yes","AUC graph / ",""),IF(CF68="Yes","Log-rank test / ",""),IF(CF69="Yes","Risk group curves / ",""),IF(CF70="Yes",CH70,"")))))-2),IF(OR(CF65="",CF66="",CF67="",CF68="",CF69=""),"",IF(CONCATENATE(IF(CF65="Yes","C-Statistic / ",""),IF(CF66="Yes","D-Statistics / ",""),IF(CF67="Yes","AUC graph / ",""),IF(CF68="Yes","Log-rank test / ",""),IF(CF69="Yes","Risk group curves / ",""),IF(CF70="Yes",CH70,""))="","Not evaluated",CONCATENATE(IF(CF65="Yes","C-Statistic / ",""),IF(CF66="Yes","D-Statistics / ",""),IF(CF67="Yes","AUC graph / ",""),IF(CF68="Yes","Log-rank test / ",""),IF(CF69="Yes","Risk group curves / ",""),IF(CF70="Yes",CH70,"")))))</f>
        <v/>
      </c>
      <c r="CG64" s="333"/>
      <c r="CH64" s="333"/>
      <c r="CI64" s="332" t="str">
        <f>IF(RIGHT(IF(OR(CI65="",CI66="",CI67="",CI68="",CI69=""),"",IF(CONCATENATE(IF(CI65="Yes","C-Statistic / ",""),IF(CI66="Yes","D-Statistics / ",""),IF(CI67="Yes","AUC graph / ",""),IF(CI68="Yes","Log-rank test / ",""),IF(CI69="Yes","Risk group curves / ",""),IF(CI70="Yes",CK70,""))="","Not evaluated",CONCATENATE(IF(CI65="Yes","C-Statistic / ",""),IF(CI66="Yes","D-Statistics / ",""),IF(CI67="Yes","AUC graph / ",""),IF(CI68="Yes","Log-rank test / ",""),IF(CI69="Yes","Risk group curves / ",""),IF(CI70="Yes",CK70,"")))),2)="/ ",LEFT(IF(OR(CI65="",CI66="",CI67="",CI68="",CI69=""),"",IF(CONCATENATE(IF(CI65="Yes","C-Statistic / ",""),IF(CI66="Yes","D-Statistics / ",""),IF(CI67="Yes","AUC graph / ",""),IF(CI68="Yes","Log-rank test / ",""),IF(CI69="Yes","Risk group curves / ",""),IF(CI70="Yes",CK70,""))="","Not evaluated",CONCATENATE(IF(CI65="Yes","C-Statistic / ",""),IF(CI66="Yes","D-Statistics / ",""),IF(CI67="Yes","AUC graph / ",""),IF(CI68="Yes","Log-rank test / ",""),IF(CI69="Yes","Risk group curves / ",""),IF(CI70="Yes",CK70,"")))),LEN(IF(OR(CI65="",CI66="",CI67="",CI68="",CI69=""),"",IF(CONCATENATE(IF(CI65="Yes","C-Statistic / ",""),IF(CI66="Yes","D-Statistics / ",""),IF(CI67="Yes","AUC graph / ",""),IF(CI68="Yes","Log-rank test / ",""),IF(CI69="Yes","Risk group curves / ",""),IF(CI70="Yes",CK70,""))="","Not evaluated",CONCATENATE(IF(CI65="Yes","C-Statistic / ",""),IF(CI66="Yes","D-Statistics / ",""),IF(CI67="Yes","AUC graph / ",""),IF(CI68="Yes","Log-rank test / ",""),IF(CI69="Yes","Risk group curves / ",""),IF(CI70="Yes",CK70,"")))))-2),IF(OR(CI65="",CI66="",CI67="",CI68="",CI69=""),"",IF(CONCATENATE(IF(CI65="Yes","C-Statistic / ",""),IF(CI66="Yes","D-Statistics / ",""),IF(CI67="Yes","AUC graph / ",""),IF(CI68="Yes","Log-rank test / ",""),IF(CI69="Yes","Risk group curves / ",""),IF(CI70="Yes",CK70,""))="","Not evaluated",CONCATENATE(IF(CI65="Yes","C-Statistic / ",""),IF(CI66="Yes","D-Statistics / ",""),IF(CI67="Yes","AUC graph / ",""),IF(CI68="Yes","Log-rank test / ",""),IF(CI69="Yes","Risk group curves / ",""),IF(CI70="Yes",CK70,"")))))</f>
        <v/>
      </c>
      <c r="CJ64" s="333"/>
      <c r="CK64" s="333"/>
      <c r="CL64" s="332" t="str">
        <f>IF(RIGHT(IF(OR(CL65="",CL66="",CL67="",CL68="",CL69=""),"",IF(CONCATENATE(IF(CL65="Yes","C-Statistic / ",""),IF(CL66="Yes","D-Statistics / ",""),IF(CL67="Yes","AUC graph / ",""),IF(CL68="Yes","Log-rank test / ",""),IF(CL69="Yes","Risk group curves / ",""),IF(CL70="Yes",CN70,""))="","Not evaluated",CONCATENATE(IF(CL65="Yes","C-Statistic / ",""),IF(CL66="Yes","D-Statistics / ",""),IF(CL67="Yes","AUC graph / ",""),IF(CL68="Yes","Log-rank test / ",""),IF(CL69="Yes","Risk group curves / ",""),IF(CL70="Yes",CN70,"")))),2)="/ ",LEFT(IF(OR(CL65="",CL66="",CL67="",CL68="",CL69=""),"",IF(CONCATENATE(IF(CL65="Yes","C-Statistic / ",""),IF(CL66="Yes","D-Statistics / ",""),IF(CL67="Yes","AUC graph / ",""),IF(CL68="Yes","Log-rank test / ",""),IF(CL69="Yes","Risk group curves / ",""),IF(CL70="Yes",CN70,""))="","Not evaluated",CONCATENATE(IF(CL65="Yes","C-Statistic / ",""),IF(CL66="Yes","D-Statistics / ",""),IF(CL67="Yes","AUC graph / ",""),IF(CL68="Yes","Log-rank test / ",""),IF(CL69="Yes","Risk group curves / ",""),IF(CL70="Yes",CN70,"")))),LEN(IF(OR(CL65="",CL66="",CL67="",CL68="",CL69=""),"",IF(CONCATENATE(IF(CL65="Yes","C-Statistic / ",""),IF(CL66="Yes","D-Statistics / ",""),IF(CL67="Yes","AUC graph / ",""),IF(CL68="Yes","Log-rank test / ",""),IF(CL69="Yes","Risk group curves / ",""),IF(CL70="Yes",CN70,""))="","Not evaluated",CONCATENATE(IF(CL65="Yes","C-Statistic / ",""),IF(CL66="Yes","D-Statistics / ",""),IF(CL67="Yes","AUC graph / ",""),IF(CL68="Yes","Log-rank test / ",""),IF(CL69="Yes","Risk group curves / ",""),IF(CL70="Yes",CN70,"")))))-2),IF(OR(CL65="",CL66="",CL67="",CL68="",CL69=""),"",IF(CONCATENATE(IF(CL65="Yes","C-Statistic / ",""),IF(CL66="Yes","D-Statistics / ",""),IF(CL67="Yes","AUC graph / ",""),IF(CL68="Yes","Log-rank test / ",""),IF(CL69="Yes","Risk group curves / ",""),IF(CL70="Yes",CN70,""))="","Not evaluated",CONCATENATE(IF(CL65="Yes","C-Statistic / ",""),IF(CL66="Yes","D-Statistics / ",""),IF(CL67="Yes","AUC graph / ",""),IF(CL68="Yes","Log-rank test / ",""),IF(CL69="Yes","Risk group curves / ",""),IF(CL70="Yes",CN70,"")))))</f>
        <v/>
      </c>
      <c r="CM64" s="333"/>
      <c r="CN64" s="333"/>
      <c r="CO64" s="332" t="str">
        <f>IF(RIGHT(IF(OR(CO65="",CO66="",CO67="",CO68="",CO69=""),"",IF(CONCATENATE(IF(CO65="Yes","C-Statistic / ",""),IF(CO66="Yes","D-Statistics / ",""),IF(CO67="Yes","AUC graph / ",""),IF(CO68="Yes","Log-rank test / ",""),IF(CO69="Yes","Risk group curves / ",""),IF(CO70="Yes",CQ70,""))="","Not evaluated",CONCATENATE(IF(CO65="Yes","C-Statistic / ",""),IF(CO66="Yes","D-Statistics / ",""),IF(CO67="Yes","AUC graph / ",""),IF(CO68="Yes","Log-rank test / ",""),IF(CO69="Yes","Risk group curves / ",""),IF(CO70="Yes",CQ70,"")))),2)="/ ",LEFT(IF(OR(CO65="",CO66="",CO67="",CO68="",CO69=""),"",IF(CONCATENATE(IF(CO65="Yes","C-Statistic / ",""),IF(CO66="Yes","D-Statistics / ",""),IF(CO67="Yes","AUC graph / ",""),IF(CO68="Yes","Log-rank test / ",""),IF(CO69="Yes","Risk group curves / ",""),IF(CO70="Yes",CQ70,""))="","Not evaluated",CONCATENATE(IF(CO65="Yes","C-Statistic / ",""),IF(CO66="Yes","D-Statistics / ",""),IF(CO67="Yes","AUC graph / ",""),IF(CO68="Yes","Log-rank test / ",""),IF(CO69="Yes","Risk group curves / ",""),IF(CO70="Yes",CQ70,"")))),LEN(IF(OR(CO65="",CO66="",CO67="",CO68="",CO69=""),"",IF(CONCATENATE(IF(CO65="Yes","C-Statistic / ",""),IF(CO66="Yes","D-Statistics / ",""),IF(CO67="Yes","AUC graph / ",""),IF(CO68="Yes","Log-rank test / ",""),IF(CO69="Yes","Risk group curves / ",""),IF(CO70="Yes",CQ70,""))="","Not evaluated",CONCATENATE(IF(CO65="Yes","C-Statistic / ",""),IF(CO66="Yes","D-Statistics / ",""),IF(CO67="Yes","AUC graph / ",""),IF(CO68="Yes","Log-rank test / ",""),IF(CO69="Yes","Risk group curves / ",""),IF(CO70="Yes",CQ70,"")))))-2),IF(OR(CO65="",CO66="",CO67="",CO68="",CO69=""),"",IF(CONCATENATE(IF(CO65="Yes","C-Statistic / ",""),IF(CO66="Yes","D-Statistics / ",""),IF(CO67="Yes","AUC graph / ",""),IF(CO68="Yes","Log-rank test / ",""),IF(CO69="Yes","Risk group curves / ",""),IF(CO70="Yes",CQ70,""))="","Not evaluated",CONCATENATE(IF(CO65="Yes","C-Statistic / ",""),IF(CO66="Yes","D-Statistics / ",""),IF(CO67="Yes","AUC graph / ",""),IF(CO68="Yes","Log-rank test / ",""),IF(CO69="Yes","Risk group curves / ",""),IF(CO70="Yes",CQ70,"")))))</f>
        <v/>
      </c>
      <c r="CP64" s="333"/>
      <c r="CQ64" s="333"/>
    </row>
    <row r="65" spans="1:95" s="13" customFormat="1" ht="15" customHeight="1" x14ac:dyDescent="0.25">
      <c r="A65" s="62"/>
      <c r="B65" s="62" t="s">
        <v>67</v>
      </c>
      <c r="C65" s="62"/>
      <c r="D65" s="274" t="s">
        <v>229</v>
      </c>
      <c r="E65" s="275"/>
      <c r="F65" s="38" t="s">
        <v>168</v>
      </c>
      <c r="G65" s="52" t="s">
        <v>218</v>
      </c>
      <c r="H65" s="46">
        <v>0.75800000000000001</v>
      </c>
      <c r="I65" s="38" t="s">
        <v>168</v>
      </c>
      <c r="J65" s="52" t="s">
        <v>218</v>
      </c>
      <c r="K65" s="46" t="s">
        <v>230</v>
      </c>
      <c r="L65" s="38" t="s">
        <v>168</v>
      </c>
      <c r="M65" s="52" t="s">
        <v>218</v>
      </c>
      <c r="N65" s="46" t="s">
        <v>231</v>
      </c>
      <c r="O65" s="38" t="s">
        <v>168</v>
      </c>
      <c r="P65" s="52" t="s">
        <v>218</v>
      </c>
      <c r="Q65" s="46" t="s">
        <v>232</v>
      </c>
      <c r="R65" s="38" t="s">
        <v>168</v>
      </c>
      <c r="S65" s="52" t="s">
        <v>218</v>
      </c>
      <c r="T65" s="46" t="s">
        <v>233</v>
      </c>
      <c r="U65" s="38" t="s">
        <v>168</v>
      </c>
      <c r="V65" s="52" t="s">
        <v>218</v>
      </c>
      <c r="W65" s="46" t="s">
        <v>234</v>
      </c>
      <c r="X65" s="38" t="s">
        <v>168</v>
      </c>
      <c r="Y65" s="52" t="s">
        <v>218</v>
      </c>
      <c r="Z65" s="46" t="s">
        <v>235</v>
      </c>
      <c r="AA65" s="38" t="s">
        <v>168</v>
      </c>
      <c r="AB65" s="52" t="s">
        <v>218</v>
      </c>
      <c r="AC65" s="46" t="s">
        <v>236</v>
      </c>
      <c r="AD65" s="38" t="s">
        <v>168</v>
      </c>
      <c r="AE65" s="52" t="s">
        <v>218</v>
      </c>
      <c r="AF65" s="46" t="s">
        <v>237</v>
      </c>
      <c r="AG65" s="38" t="s">
        <v>168</v>
      </c>
      <c r="AH65" s="52" t="s">
        <v>218</v>
      </c>
      <c r="AI65" s="46" t="s">
        <v>238</v>
      </c>
      <c r="AJ65" s="38" t="s">
        <v>168</v>
      </c>
      <c r="AK65" s="52" t="s">
        <v>218</v>
      </c>
      <c r="AL65" s="46" t="s">
        <v>239</v>
      </c>
      <c r="AM65" s="38"/>
      <c r="AN65" s="52" t="s">
        <v>218</v>
      </c>
      <c r="AO65" s="46"/>
      <c r="AP65" s="38"/>
      <c r="AQ65" s="52" t="s">
        <v>218</v>
      </c>
      <c r="AR65" s="46"/>
      <c r="AS65" s="38"/>
      <c r="AT65" s="52" t="s">
        <v>218</v>
      </c>
      <c r="AU65" s="46"/>
      <c r="AV65" s="38"/>
      <c r="AW65" s="52" t="s">
        <v>218</v>
      </c>
      <c r="AX65" s="46"/>
      <c r="AY65" s="38"/>
      <c r="AZ65" s="52" t="s">
        <v>218</v>
      </c>
      <c r="BA65" s="46"/>
      <c r="BB65" s="38"/>
      <c r="BC65" s="52" t="s">
        <v>218</v>
      </c>
      <c r="BD65" s="46"/>
      <c r="BE65" s="38"/>
      <c r="BF65" s="52" t="s">
        <v>218</v>
      </c>
      <c r="BG65" s="46"/>
      <c r="BH65" s="38"/>
      <c r="BI65" s="52" t="s">
        <v>218</v>
      </c>
      <c r="BJ65" s="46"/>
      <c r="BK65" s="38"/>
      <c r="BL65" s="52" t="s">
        <v>218</v>
      </c>
      <c r="BM65" s="46"/>
      <c r="BN65" s="38"/>
      <c r="BO65" s="52" t="s">
        <v>218</v>
      </c>
      <c r="BP65" s="46"/>
      <c r="BQ65" s="38"/>
      <c r="BR65" s="52" t="s">
        <v>218</v>
      </c>
      <c r="BS65" s="46"/>
      <c r="BT65" s="38"/>
      <c r="BU65" s="52" t="s">
        <v>218</v>
      </c>
      <c r="BV65" s="46"/>
      <c r="BW65" s="38"/>
      <c r="BX65" s="52" t="s">
        <v>218</v>
      </c>
      <c r="BY65" s="46"/>
      <c r="BZ65" s="38"/>
      <c r="CA65" s="52" t="s">
        <v>218</v>
      </c>
      <c r="CB65" s="46"/>
      <c r="CC65" s="38"/>
      <c r="CD65" s="52" t="s">
        <v>218</v>
      </c>
      <c r="CE65" s="46"/>
      <c r="CF65" s="38"/>
      <c r="CG65" s="52" t="s">
        <v>218</v>
      </c>
      <c r="CH65" s="46"/>
      <c r="CI65" s="38"/>
      <c r="CJ65" s="52" t="s">
        <v>218</v>
      </c>
      <c r="CK65" s="46"/>
      <c r="CL65" s="38"/>
      <c r="CM65" s="52" t="s">
        <v>218</v>
      </c>
      <c r="CN65" s="46"/>
      <c r="CO65" s="37"/>
      <c r="CP65" s="52" t="s">
        <v>218</v>
      </c>
      <c r="CQ65" s="46"/>
    </row>
    <row r="66" spans="1:95" s="13" customFormat="1" ht="15" customHeight="1" x14ac:dyDescent="0.25">
      <c r="A66" s="62"/>
      <c r="B66" s="62" t="s">
        <v>67</v>
      </c>
      <c r="C66" s="62"/>
      <c r="D66" s="296" t="s">
        <v>240</v>
      </c>
      <c r="E66" s="297"/>
      <c r="F66" s="38" t="s">
        <v>173</v>
      </c>
      <c r="G66" s="52" t="s">
        <v>218</v>
      </c>
      <c r="H66" s="46"/>
      <c r="I66" s="38" t="s">
        <v>173</v>
      </c>
      <c r="J66" s="52" t="s">
        <v>218</v>
      </c>
      <c r="K66" s="46"/>
      <c r="L66" s="38" t="s">
        <v>173</v>
      </c>
      <c r="M66" s="52" t="s">
        <v>218</v>
      </c>
      <c r="N66" s="46"/>
      <c r="O66" s="38" t="s">
        <v>173</v>
      </c>
      <c r="P66" s="52" t="s">
        <v>218</v>
      </c>
      <c r="Q66" s="46"/>
      <c r="R66" s="38" t="s">
        <v>173</v>
      </c>
      <c r="S66" s="52" t="s">
        <v>218</v>
      </c>
      <c r="T66" s="46"/>
      <c r="U66" s="38" t="s">
        <v>173</v>
      </c>
      <c r="V66" s="52" t="s">
        <v>218</v>
      </c>
      <c r="W66" s="46"/>
      <c r="X66" s="38" t="s">
        <v>173</v>
      </c>
      <c r="Y66" s="52" t="s">
        <v>218</v>
      </c>
      <c r="Z66" s="46"/>
      <c r="AA66" s="38" t="s">
        <v>173</v>
      </c>
      <c r="AB66" s="52" t="s">
        <v>218</v>
      </c>
      <c r="AC66" s="46"/>
      <c r="AD66" s="38" t="s">
        <v>173</v>
      </c>
      <c r="AE66" s="52" t="s">
        <v>218</v>
      </c>
      <c r="AF66" s="46"/>
      <c r="AG66" s="38" t="s">
        <v>173</v>
      </c>
      <c r="AH66" s="52" t="s">
        <v>218</v>
      </c>
      <c r="AI66" s="46"/>
      <c r="AJ66" s="38" t="s">
        <v>173</v>
      </c>
      <c r="AK66" s="52" t="s">
        <v>218</v>
      </c>
      <c r="AL66" s="46"/>
      <c r="AM66" s="38"/>
      <c r="AN66" s="52" t="s">
        <v>218</v>
      </c>
      <c r="AO66" s="46"/>
      <c r="AP66" s="38"/>
      <c r="AQ66" s="52" t="s">
        <v>218</v>
      </c>
      <c r="AR66" s="46"/>
      <c r="AS66" s="38"/>
      <c r="AT66" s="52" t="s">
        <v>218</v>
      </c>
      <c r="AU66" s="46"/>
      <c r="AV66" s="38"/>
      <c r="AW66" s="52" t="s">
        <v>218</v>
      </c>
      <c r="AX66" s="46"/>
      <c r="AY66" s="38"/>
      <c r="AZ66" s="52" t="s">
        <v>218</v>
      </c>
      <c r="BA66" s="46"/>
      <c r="BB66" s="38"/>
      <c r="BC66" s="52" t="s">
        <v>218</v>
      </c>
      <c r="BD66" s="46"/>
      <c r="BE66" s="38"/>
      <c r="BF66" s="52" t="s">
        <v>218</v>
      </c>
      <c r="BG66" s="46"/>
      <c r="BH66" s="38"/>
      <c r="BI66" s="52" t="s">
        <v>218</v>
      </c>
      <c r="BJ66" s="46"/>
      <c r="BK66" s="38"/>
      <c r="BL66" s="52" t="s">
        <v>218</v>
      </c>
      <c r="BM66" s="46"/>
      <c r="BN66" s="38"/>
      <c r="BO66" s="52" t="s">
        <v>218</v>
      </c>
      <c r="BP66" s="46"/>
      <c r="BQ66" s="38"/>
      <c r="BR66" s="52" t="s">
        <v>218</v>
      </c>
      <c r="BS66" s="46"/>
      <c r="BT66" s="38"/>
      <c r="BU66" s="52" t="s">
        <v>218</v>
      </c>
      <c r="BV66" s="46"/>
      <c r="BW66" s="38"/>
      <c r="BX66" s="52" t="s">
        <v>218</v>
      </c>
      <c r="BY66" s="46"/>
      <c r="BZ66" s="38"/>
      <c r="CA66" s="52" t="s">
        <v>218</v>
      </c>
      <c r="CB66" s="46"/>
      <c r="CC66" s="38"/>
      <c r="CD66" s="52" t="s">
        <v>218</v>
      </c>
      <c r="CE66" s="46"/>
      <c r="CF66" s="38"/>
      <c r="CG66" s="52" t="s">
        <v>218</v>
      </c>
      <c r="CH66" s="46"/>
      <c r="CI66" s="38"/>
      <c r="CJ66" s="52" t="s">
        <v>218</v>
      </c>
      <c r="CK66" s="46"/>
      <c r="CL66" s="38"/>
      <c r="CM66" s="52" t="s">
        <v>218</v>
      </c>
      <c r="CN66" s="46"/>
      <c r="CO66" s="37"/>
      <c r="CP66" s="52" t="s">
        <v>218</v>
      </c>
      <c r="CQ66" s="46"/>
    </row>
    <row r="67" spans="1:95" s="13" customFormat="1" ht="15" customHeight="1" x14ac:dyDescent="0.25">
      <c r="A67" s="62"/>
      <c r="B67" s="62" t="s">
        <v>67</v>
      </c>
      <c r="C67" s="62"/>
      <c r="D67" s="299" t="s">
        <v>241</v>
      </c>
      <c r="E67" s="300"/>
      <c r="F67" s="337" t="s">
        <v>173</v>
      </c>
      <c r="G67" s="338"/>
      <c r="H67" s="338"/>
      <c r="I67" s="337" t="s">
        <v>168</v>
      </c>
      <c r="J67" s="338"/>
      <c r="K67" s="338"/>
      <c r="L67" s="337" t="s">
        <v>168</v>
      </c>
      <c r="M67" s="338"/>
      <c r="N67" s="338"/>
      <c r="O67" s="337" t="s">
        <v>168</v>
      </c>
      <c r="P67" s="338"/>
      <c r="Q67" s="338"/>
      <c r="R67" s="337" t="s">
        <v>168</v>
      </c>
      <c r="S67" s="338"/>
      <c r="T67" s="338"/>
      <c r="U67" s="337" t="s">
        <v>168</v>
      </c>
      <c r="V67" s="338"/>
      <c r="W67" s="338"/>
      <c r="X67" s="337" t="s">
        <v>168</v>
      </c>
      <c r="Y67" s="338"/>
      <c r="Z67" s="338"/>
      <c r="AA67" s="337" t="s">
        <v>168</v>
      </c>
      <c r="AB67" s="338"/>
      <c r="AC67" s="338"/>
      <c r="AD67" s="337" t="s">
        <v>168</v>
      </c>
      <c r="AE67" s="338"/>
      <c r="AF67" s="338"/>
      <c r="AG67" s="337" t="s">
        <v>168</v>
      </c>
      <c r="AH67" s="338"/>
      <c r="AI67" s="338"/>
      <c r="AJ67" s="337" t="s">
        <v>168</v>
      </c>
      <c r="AK67" s="338"/>
      <c r="AL67" s="338"/>
      <c r="AM67" s="337"/>
      <c r="AN67" s="338"/>
      <c r="AO67" s="338"/>
      <c r="AP67" s="337"/>
      <c r="AQ67" s="338"/>
      <c r="AR67" s="338"/>
      <c r="AS67" s="337"/>
      <c r="AT67" s="338"/>
      <c r="AU67" s="338"/>
      <c r="AV67" s="337"/>
      <c r="AW67" s="338"/>
      <c r="AX67" s="338"/>
      <c r="AY67" s="337"/>
      <c r="AZ67" s="338"/>
      <c r="BA67" s="338"/>
      <c r="BB67" s="337"/>
      <c r="BC67" s="338"/>
      <c r="BD67" s="338"/>
      <c r="BE67" s="337"/>
      <c r="BF67" s="338"/>
      <c r="BG67" s="338"/>
      <c r="BH67" s="337"/>
      <c r="BI67" s="338"/>
      <c r="BJ67" s="338"/>
      <c r="BK67" s="337"/>
      <c r="BL67" s="338"/>
      <c r="BM67" s="338"/>
      <c r="BN67" s="337"/>
      <c r="BO67" s="338"/>
      <c r="BP67" s="338"/>
      <c r="BQ67" s="337"/>
      <c r="BR67" s="338"/>
      <c r="BS67" s="338"/>
      <c r="BT67" s="337"/>
      <c r="BU67" s="338"/>
      <c r="BV67" s="338"/>
      <c r="BW67" s="337"/>
      <c r="BX67" s="338"/>
      <c r="BY67" s="338"/>
      <c r="BZ67" s="337"/>
      <c r="CA67" s="338"/>
      <c r="CB67" s="338"/>
      <c r="CC67" s="337"/>
      <c r="CD67" s="338"/>
      <c r="CE67" s="338"/>
      <c r="CF67" s="337"/>
      <c r="CG67" s="338"/>
      <c r="CH67" s="338"/>
      <c r="CI67" s="337"/>
      <c r="CJ67" s="338"/>
      <c r="CK67" s="338"/>
      <c r="CL67" s="337"/>
      <c r="CM67" s="338"/>
      <c r="CN67" s="338"/>
      <c r="CO67" s="337"/>
      <c r="CP67" s="338"/>
      <c r="CQ67" s="338"/>
    </row>
    <row r="68" spans="1:95" s="13" customFormat="1" ht="15" customHeight="1" x14ac:dyDescent="0.25">
      <c r="A68" s="62"/>
      <c r="B68" s="62" t="s">
        <v>67</v>
      </c>
      <c r="C68" s="62"/>
      <c r="D68" s="274" t="s">
        <v>242</v>
      </c>
      <c r="E68" s="298"/>
      <c r="F68" s="330" t="s">
        <v>243</v>
      </c>
      <c r="G68" s="331"/>
      <c r="H68" s="331"/>
      <c r="I68" s="330" t="s">
        <v>243</v>
      </c>
      <c r="J68" s="331"/>
      <c r="K68" s="331"/>
      <c r="L68" s="330" t="s">
        <v>243</v>
      </c>
      <c r="M68" s="331"/>
      <c r="N68" s="331"/>
      <c r="O68" s="330" t="s">
        <v>243</v>
      </c>
      <c r="P68" s="331"/>
      <c r="Q68" s="331"/>
      <c r="R68" s="330" t="s">
        <v>243</v>
      </c>
      <c r="S68" s="331"/>
      <c r="T68" s="331"/>
      <c r="U68" s="330" t="s">
        <v>243</v>
      </c>
      <c r="V68" s="331"/>
      <c r="W68" s="331"/>
      <c r="X68" s="330" t="s">
        <v>243</v>
      </c>
      <c r="Y68" s="331"/>
      <c r="Z68" s="331"/>
      <c r="AA68" s="330" t="s">
        <v>243</v>
      </c>
      <c r="AB68" s="331"/>
      <c r="AC68" s="331"/>
      <c r="AD68" s="330" t="s">
        <v>243</v>
      </c>
      <c r="AE68" s="331"/>
      <c r="AF68" s="331"/>
      <c r="AG68" s="330" t="s">
        <v>243</v>
      </c>
      <c r="AH68" s="331"/>
      <c r="AI68" s="331"/>
      <c r="AJ68" s="330" t="s">
        <v>243</v>
      </c>
      <c r="AK68" s="331"/>
      <c r="AL68" s="331"/>
      <c r="AM68" s="330"/>
      <c r="AN68" s="331"/>
      <c r="AO68" s="331"/>
      <c r="AP68" s="330"/>
      <c r="AQ68" s="331"/>
      <c r="AR68" s="331"/>
      <c r="AS68" s="330"/>
      <c r="AT68" s="331"/>
      <c r="AU68" s="331"/>
      <c r="AV68" s="330"/>
      <c r="AW68" s="331"/>
      <c r="AX68" s="331"/>
      <c r="AY68" s="330"/>
      <c r="AZ68" s="331"/>
      <c r="BA68" s="331"/>
      <c r="BB68" s="330"/>
      <c r="BC68" s="331"/>
      <c r="BD68" s="331"/>
      <c r="BE68" s="330"/>
      <c r="BF68" s="331"/>
      <c r="BG68" s="331"/>
      <c r="BH68" s="330"/>
      <c r="BI68" s="331"/>
      <c r="BJ68" s="331"/>
      <c r="BK68" s="330"/>
      <c r="BL68" s="331"/>
      <c r="BM68" s="331"/>
      <c r="BN68" s="330"/>
      <c r="BO68" s="331"/>
      <c r="BP68" s="331"/>
      <c r="BQ68" s="330"/>
      <c r="BR68" s="331"/>
      <c r="BS68" s="331"/>
      <c r="BT68" s="330"/>
      <c r="BU68" s="331"/>
      <c r="BV68" s="331"/>
      <c r="BW68" s="330"/>
      <c r="BX68" s="331"/>
      <c r="BY68" s="331"/>
      <c r="BZ68" s="330"/>
      <c r="CA68" s="331"/>
      <c r="CB68" s="331"/>
      <c r="CC68" s="330"/>
      <c r="CD68" s="331"/>
      <c r="CE68" s="331"/>
      <c r="CF68" s="330"/>
      <c r="CG68" s="331"/>
      <c r="CH68" s="331"/>
      <c r="CI68" s="330"/>
      <c r="CJ68" s="331"/>
      <c r="CK68" s="331"/>
      <c r="CL68" s="330"/>
      <c r="CM68" s="331"/>
      <c r="CN68" s="331"/>
      <c r="CO68" s="330"/>
      <c r="CP68" s="331"/>
      <c r="CQ68" s="331"/>
    </row>
    <row r="69" spans="1:95" s="13" customFormat="1" ht="15" customHeight="1" x14ac:dyDescent="0.25">
      <c r="A69" s="62"/>
      <c r="B69" s="62" t="s">
        <v>67</v>
      </c>
      <c r="C69" s="62"/>
      <c r="D69" s="274" t="s">
        <v>244</v>
      </c>
      <c r="E69" s="298"/>
      <c r="F69" s="330" t="s">
        <v>243</v>
      </c>
      <c r="G69" s="331"/>
      <c r="H69" s="331"/>
      <c r="I69" s="330" t="s">
        <v>243</v>
      </c>
      <c r="J69" s="331"/>
      <c r="K69" s="331"/>
      <c r="L69" s="330" t="s">
        <v>243</v>
      </c>
      <c r="M69" s="331"/>
      <c r="N69" s="331"/>
      <c r="O69" s="330" t="s">
        <v>243</v>
      </c>
      <c r="P69" s="331"/>
      <c r="Q69" s="331"/>
      <c r="R69" s="330" t="s">
        <v>243</v>
      </c>
      <c r="S69" s="331"/>
      <c r="T69" s="331"/>
      <c r="U69" s="330" t="s">
        <v>243</v>
      </c>
      <c r="V69" s="331"/>
      <c r="W69" s="331"/>
      <c r="X69" s="330" t="s">
        <v>243</v>
      </c>
      <c r="Y69" s="331"/>
      <c r="Z69" s="331"/>
      <c r="AA69" s="330" t="s">
        <v>243</v>
      </c>
      <c r="AB69" s="331"/>
      <c r="AC69" s="331"/>
      <c r="AD69" s="330" t="s">
        <v>243</v>
      </c>
      <c r="AE69" s="331"/>
      <c r="AF69" s="331"/>
      <c r="AG69" s="330" t="s">
        <v>243</v>
      </c>
      <c r="AH69" s="331"/>
      <c r="AI69" s="331"/>
      <c r="AJ69" s="330" t="s">
        <v>243</v>
      </c>
      <c r="AK69" s="331"/>
      <c r="AL69" s="331"/>
      <c r="AM69" s="330"/>
      <c r="AN69" s="331"/>
      <c r="AO69" s="331"/>
      <c r="AP69" s="330"/>
      <c r="AQ69" s="331"/>
      <c r="AR69" s="331"/>
      <c r="AS69" s="330"/>
      <c r="AT69" s="331"/>
      <c r="AU69" s="331"/>
      <c r="AV69" s="330"/>
      <c r="AW69" s="331"/>
      <c r="AX69" s="331"/>
      <c r="AY69" s="330"/>
      <c r="AZ69" s="331"/>
      <c r="BA69" s="331"/>
      <c r="BB69" s="330"/>
      <c r="BC69" s="331"/>
      <c r="BD69" s="331"/>
      <c r="BE69" s="330"/>
      <c r="BF69" s="331"/>
      <c r="BG69" s="331"/>
      <c r="BH69" s="330"/>
      <c r="BI69" s="331"/>
      <c r="BJ69" s="331"/>
      <c r="BK69" s="330"/>
      <c r="BL69" s="331"/>
      <c r="BM69" s="331"/>
      <c r="BN69" s="330"/>
      <c r="BO69" s="331"/>
      <c r="BP69" s="331"/>
      <c r="BQ69" s="330"/>
      <c r="BR69" s="331"/>
      <c r="BS69" s="331"/>
      <c r="BT69" s="330"/>
      <c r="BU69" s="331"/>
      <c r="BV69" s="331"/>
      <c r="BW69" s="330"/>
      <c r="BX69" s="331"/>
      <c r="BY69" s="331"/>
      <c r="BZ69" s="330"/>
      <c r="CA69" s="331"/>
      <c r="CB69" s="331"/>
      <c r="CC69" s="330"/>
      <c r="CD69" s="331"/>
      <c r="CE69" s="331"/>
      <c r="CF69" s="330"/>
      <c r="CG69" s="331"/>
      <c r="CH69" s="331"/>
      <c r="CI69" s="330"/>
      <c r="CJ69" s="331"/>
      <c r="CK69" s="331"/>
      <c r="CL69" s="330"/>
      <c r="CM69" s="331"/>
      <c r="CN69" s="331"/>
      <c r="CO69" s="330"/>
      <c r="CP69" s="331"/>
      <c r="CQ69" s="331"/>
    </row>
    <row r="70" spans="1:95" s="13" customFormat="1" ht="15" customHeight="1" x14ac:dyDescent="0.25">
      <c r="A70" s="62"/>
      <c r="B70" s="62" t="s">
        <v>67</v>
      </c>
      <c r="C70" s="62"/>
      <c r="D70" s="296" t="s">
        <v>245</v>
      </c>
      <c r="E70" s="297"/>
      <c r="F70" s="38" t="s">
        <v>173</v>
      </c>
      <c r="G70" s="53" t="s">
        <v>226</v>
      </c>
      <c r="H70" s="47"/>
      <c r="I70" s="38" t="s">
        <v>173</v>
      </c>
      <c r="J70" s="53" t="s">
        <v>226</v>
      </c>
      <c r="K70" s="47"/>
      <c r="L70" s="38" t="s">
        <v>173</v>
      </c>
      <c r="M70" s="53" t="s">
        <v>226</v>
      </c>
      <c r="N70" s="47"/>
      <c r="O70" s="38" t="s">
        <v>173</v>
      </c>
      <c r="P70" s="53" t="s">
        <v>226</v>
      </c>
      <c r="Q70" s="47"/>
      <c r="R70" s="38" t="s">
        <v>173</v>
      </c>
      <c r="S70" s="53" t="s">
        <v>226</v>
      </c>
      <c r="T70" s="47"/>
      <c r="U70" s="38" t="s">
        <v>173</v>
      </c>
      <c r="V70" s="53" t="s">
        <v>226</v>
      </c>
      <c r="W70" s="47"/>
      <c r="X70" s="38" t="s">
        <v>173</v>
      </c>
      <c r="Y70" s="53" t="s">
        <v>226</v>
      </c>
      <c r="Z70" s="47"/>
      <c r="AA70" s="38" t="s">
        <v>173</v>
      </c>
      <c r="AB70" s="53" t="s">
        <v>226</v>
      </c>
      <c r="AC70" s="47"/>
      <c r="AD70" s="38" t="s">
        <v>173</v>
      </c>
      <c r="AE70" s="53" t="s">
        <v>226</v>
      </c>
      <c r="AF70" s="47"/>
      <c r="AG70" s="38" t="s">
        <v>173</v>
      </c>
      <c r="AH70" s="53" t="s">
        <v>226</v>
      </c>
      <c r="AI70" s="47"/>
      <c r="AJ70" s="38" t="s">
        <v>173</v>
      </c>
      <c r="AK70" s="53" t="s">
        <v>226</v>
      </c>
      <c r="AL70" s="47"/>
      <c r="AM70" s="38"/>
      <c r="AN70" s="53" t="s">
        <v>226</v>
      </c>
      <c r="AO70" s="47"/>
      <c r="AP70" s="38"/>
      <c r="AQ70" s="53" t="s">
        <v>226</v>
      </c>
      <c r="AR70" s="47"/>
      <c r="AS70" s="38"/>
      <c r="AT70" s="53" t="s">
        <v>226</v>
      </c>
      <c r="AU70" s="47"/>
      <c r="AV70" s="38"/>
      <c r="AW70" s="53" t="s">
        <v>226</v>
      </c>
      <c r="AX70" s="47"/>
      <c r="AY70" s="38"/>
      <c r="AZ70" s="53" t="s">
        <v>226</v>
      </c>
      <c r="BA70" s="47"/>
      <c r="BB70" s="38"/>
      <c r="BC70" s="53" t="s">
        <v>226</v>
      </c>
      <c r="BD70" s="47"/>
      <c r="BE70" s="38"/>
      <c r="BF70" s="53" t="s">
        <v>226</v>
      </c>
      <c r="BG70" s="47"/>
      <c r="BH70" s="38"/>
      <c r="BI70" s="53" t="s">
        <v>226</v>
      </c>
      <c r="BJ70" s="47"/>
      <c r="BK70" s="38"/>
      <c r="BL70" s="53" t="s">
        <v>226</v>
      </c>
      <c r="BM70" s="47"/>
      <c r="BN70" s="38"/>
      <c r="BO70" s="53" t="s">
        <v>226</v>
      </c>
      <c r="BP70" s="47"/>
      <c r="BQ70" s="38"/>
      <c r="BR70" s="53" t="s">
        <v>226</v>
      </c>
      <c r="BS70" s="47"/>
      <c r="BT70" s="38"/>
      <c r="BU70" s="53" t="s">
        <v>226</v>
      </c>
      <c r="BV70" s="47"/>
      <c r="BW70" s="38"/>
      <c r="BX70" s="53" t="s">
        <v>226</v>
      </c>
      <c r="BY70" s="47"/>
      <c r="BZ70" s="38"/>
      <c r="CA70" s="53" t="s">
        <v>226</v>
      </c>
      <c r="CB70" s="47"/>
      <c r="CC70" s="38"/>
      <c r="CD70" s="53" t="s">
        <v>226</v>
      </c>
      <c r="CE70" s="47"/>
      <c r="CF70" s="38"/>
      <c r="CG70" s="53" t="s">
        <v>226</v>
      </c>
      <c r="CH70" s="47"/>
      <c r="CI70" s="38"/>
      <c r="CJ70" s="53" t="s">
        <v>226</v>
      </c>
      <c r="CK70" s="47"/>
      <c r="CL70" s="38"/>
      <c r="CM70" s="53" t="s">
        <v>226</v>
      </c>
      <c r="CN70" s="47"/>
      <c r="CO70" s="37"/>
      <c r="CP70" s="53" t="s">
        <v>226</v>
      </c>
      <c r="CQ70" s="47"/>
    </row>
    <row r="71" spans="1:95" s="13" customFormat="1" ht="15" customHeight="1" x14ac:dyDescent="0.25">
      <c r="A71" s="62"/>
      <c r="B71" s="62" t="s">
        <v>67</v>
      </c>
      <c r="C71" s="62"/>
      <c r="D71" s="294" t="s">
        <v>246</v>
      </c>
      <c r="E71" s="295"/>
      <c r="F71" s="332" t="str">
        <f>IF(RIGHT(IF(OR(F72="",F73=""),"",IF(CONCATENATE(IF(F72="Yes","R-squared / ",""),IF(F73="Yes","Brier score / ",""),IF(F74="Yes",H74,""))="","Not evaluated",CONCATENATE(IF(F72="Yes","R-squared / ",""),IF(F73="Yes","Brier score / ",""),IF(F74="Yes",H74,"")))),2)="/ ",LEFT(IF(OR(F72="",F73=""),"",IF(CONCATENATE(IF(F72="Yes","R-squared / ",""),IF(F73="Yes","Brier score / ",""),IF(F74="Yes",H74,""))="","Not evaluated",CONCATENATE(IF(F72="Yes","R-squared / ",""),IF(F73="Yes","Brier score / ",""),IF(F74="Yes",H74,"")))),LEN(IF(OR(F72="",F73=""),"",IF(CONCATENATE(IF(F72="Yes","R-squared / ",""),IF(F73="Yes","Brier score / ",""),IF(F74="Yes",H74,""))="","Not evaluated",CONCATENATE(IF(F72="Yes","R-squared / ",""),IF(F73="Yes","Brier score / ",""),IF(F74="Yes",H74,"")))))-2),IF(OR(F72="",F73=""),"",IF(CONCATENATE(IF(F72="Yes","R-squared / ",""),IF(F73="Yes","Brier score / ",""),IF(F74="Yes",H74,""))="","Not evaluated",CONCATENATE(IF(F72="Yes","R-squared / ",""),IF(F73="Yes","Brier score / ",""),IF(F74="Yes",H74,"")))))</f>
        <v>Not evaluated</v>
      </c>
      <c r="G71" s="333"/>
      <c r="H71" s="333"/>
      <c r="I71" s="332" t="str">
        <f>IF(RIGHT(IF(OR(I72="",I73=""),"",IF(CONCATENATE(IF(I72="Yes","R-squared / ",""),IF(I73="Yes","Brier score / ",""),IF(I74="Yes",K74,""))="","Not evaluated",CONCATENATE(IF(I72="Yes","R-squared / ",""),IF(I73="Yes","Brier score / ",""),IF(I74="Yes",K74,"")))),2)="/ ",LEFT(IF(OR(I72="",I73=""),"",IF(CONCATENATE(IF(I72="Yes","R-squared / ",""),IF(I73="Yes","Brier score / ",""),IF(I74="Yes",K74,""))="","Not evaluated",CONCATENATE(IF(I72="Yes","R-squared / ",""),IF(I73="Yes","Brier score / ",""),IF(I74="Yes",K74,"")))),LEN(IF(OR(I72="",I73=""),"",IF(CONCATENATE(IF(I72="Yes","R-squared / ",""),IF(I73="Yes","Brier score / ",""),IF(I74="Yes",K74,""))="","Not evaluated",CONCATENATE(IF(I72="Yes","R-squared / ",""),IF(I73="Yes","Brier score / ",""),IF(I74="Yes",K74,"")))))-2),IF(OR(I72="",I73=""),"",IF(CONCATENATE(IF(I72="Yes","R-squared / ",""),IF(I73="Yes","Brier score / ",""),IF(I74="Yes",K74,""))="","Not evaluated",CONCATENATE(IF(I72="Yes","R-squared / ",""),IF(I73="Yes","Brier score / ",""),IF(I74="Yes",K74,"")))))</f>
        <v>Not evaluated</v>
      </c>
      <c r="J71" s="333"/>
      <c r="K71" s="333"/>
      <c r="L71" s="332" t="str">
        <f>IF(RIGHT(IF(OR(L72="",L73=""),"",IF(CONCATENATE(IF(L72="Yes","R-squared / ",""),IF(L73="Yes","Brier score / ",""),IF(L74="Yes",N74,""))="","Not evaluated",CONCATENATE(IF(L72="Yes","R-squared / ",""),IF(L73="Yes","Brier score / ",""),IF(L74="Yes",N74,"")))),2)="/ ",LEFT(IF(OR(L72="",L73=""),"",IF(CONCATENATE(IF(L72="Yes","R-squared / ",""),IF(L73="Yes","Brier score / ",""),IF(L74="Yes",N74,""))="","Not evaluated",CONCATENATE(IF(L72="Yes","R-squared / ",""),IF(L73="Yes","Brier score / ",""),IF(L74="Yes",N74,"")))),LEN(IF(OR(L72="",L73=""),"",IF(CONCATENATE(IF(L72="Yes","R-squared / ",""),IF(L73="Yes","Brier score / ",""),IF(L74="Yes",N74,""))="","Not evaluated",CONCATENATE(IF(L72="Yes","R-squared / ",""),IF(L73="Yes","Brier score / ",""),IF(L74="Yes",N74,"")))))-2),IF(OR(L72="",L73=""),"",IF(CONCATENATE(IF(L72="Yes","R-squared / ",""),IF(L73="Yes","Brier score / ",""),IF(L74="Yes",N74,""))="","Not evaluated",CONCATENATE(IF(L72="Yes","R-squared / ",""),IF(L73="Yes","Brier score / ",""),IF(L74="Yes",N74,"")))))</f>
        <v>Not evaluated</v>
      </c>
      <c r="M71" s="333"/>
      <c r="N71" s="333"/>
      <c r="O71" s="332" t="str">
        <f>IF(RIGHT(IF(OR(O72="",O73=""),"",IF(CONCATENATE(IF(O72="Yes","R-squared / ",""),IF(O73="Yes","Brier score / ",""),IF(O74="Yes",Q74,""))="","Not evaluated",CONCATENATE(IF(O72="Yes","R-squared / ",""),IF(O73="Yes","Brier score / ",""),IF(O74="Yes",Q74,"")))),2)="/ ",LEFT(IF(OR(O72="",O73=""),"",IF(CONCATENATE(IF(O72="Yes","R-squared / ",""),IF(O73="Yes","Brier score / ",""),IF(O74="Yes",Q74,""))="","Not evaluated",CONCATENATE(IF(O72="Yes","R-squared / ",""),IF(O73="Yes","Brier score / ",""),IF(O74="Yes",Q74,"")))),LEN(IF(OR(O72="",O73=""),"",IF(CONCATENATE(IF(O72="Yes","R-squared / ",""),IF(O73="Yes","Brier score / ",""),IF(O74="Yes",Q74,""))="","Not evaluated",CONCATENATE(IF(O72="Yes","R-squared / ",""),IF(O73="Yes","Brier score / ",""),IF(O74="Yes",Q74,"")))))-2),IF(OR(O72="",O73=""),"",IF(CONCATENATE(IF(O72="Yes","R-squared / ",""),IF(O73="Yes","Brier score / ",""),IF(O74="Yes",Q74,""))="","Not evaluated",CONCATENATE(IF(O72="Yes","R-squared / ",""),IF(O73="Yes","Brier score / ",""),IF(O74="Yes",Q74,"")))))</f>
        <v xml:space="preserve">Brier score </v>
      </c>
      <c r="P71" s="333"/>
      <c r="Q71" s="333"/>
      <c r="R71" s="332" t="str">
        <f>IF(RIGHT(IF(OR(R72="",R73=""),"",IF(CONCATENATE(IF(R72="Yes","R-squared / ",""),IF(R73="Yes","Brier score / ",""),IF(R74="Yes",T74,""))="","Not evaluated",CONCATENATE(IF(R72="Yes","R-squared / ",""),IF(R73="Yes","Brier score / ",""),IF(R74="Yes",T74,"")))),2)="/ ",LEFT(IF(OR(R72="",R73=""),"",IF(CONCATENATE(IF(R72="Yes","R-squared / ",""),IF(R73="Yes","Brier score / ",""),IF(R74="Yes",T74,""))="","Not evaluated",CONCATENATE(IF(R72="Yes","R-squared / ",""),IF(R73="Yes","Brier score / ",""),IF(R74="Yes",T74,"")))),LEN(IF(OR(R72="",R73=""),"",IF(CONCATENATE(IF(R72="Yes","R-squared / ",""),IF(R73="Yes","Brier score / ",""),IF(R74="Yes",T74,""))="","Not evaluated",CONCATENATE(IF(R72="Yes","R-squared / ",""),IF(R73="Yes","Brier score / ",""),IF(R74="Yes",T74,"")))))-2),IF(OR(R72="",R73=""),"",IF(CONCATENATE(IF(R72="Yes","R-squared / ",""),IF(R73="Yes","Brier score / ",""),IF(R74="Yes",T74,""))="","Not evaluated",CONCATENATE(IF(R72="Yes","R-squared / ",""),IF(R73="Yes","Brier score / ",""),IF(R74="Yes",T74,"")))))</f>
        <v>Not evaluated</v>
      </c>
      <c r="S71" s="333"/>
      <c r="T71" s="333"/>
      <c r="U71" s="332" t="str">
        <f>IF(RIGHT(IF(OR(U72="",U73=""),"",IF(CONCATENATE(IF(U72="Yes","R-squared / ",""),IF(U73="Yes","Brier score / ",""),IF(U74="Yes",W74,""))="","Not evaluated",CONCATENATE(IF(U72="Yes","R-squared / ",""),IF(U73="Yes","Brier score / ",""),IF(U74="Yes",W74,"")))),2)="/ ",LEFT(IF(OR(U72="",U73=""),"",IF(CONCATENATE(IF(U72="Yes","R-squared / ",""),IF(U73="Yes","Brier score / ",""),IF(U74="Yes",W74,""))="","Not evaluated",CONCATENATE(IF(U72="Yes","R-squared / ",""),IF(U73="Yes","Brier score / ",""),IF(U74="Yes",W74,"")))),LEN(IF(OR(U72="",U73=""),"",IF(CONCATENATE(IF(U72="Yes","R-squared / ",""),IF(U73="Yes","Brier score / ",""),IF(U74="Yes",W74,""))="","Not evaluated",CONCATENATE(IF(U72="Yes","R-squared / ",""),IF(U73="Yes","Brier score / ",""),IF(U74="Yes",W74,"")))))-2),IF(OR(U72="",U73=""),"",IF(CONCATENATE(IF(U72="Yes","R-squared / ",""),IF(U73="Yes","Brier score / ",""),IF(U74="Yes",W74,""))="","Not evaluated",CONCATENATE(IF(U72="Yes","R-squared / ",""),IF(U73="Yes","Brier score / ",""),IF(U74="Yes",W74,"")))))</f>
        <v>Not evaluated</v>
      </c>
      <c r="V71" s="333"/>
      <c r="W71" s="333"/>
      <c r="X71" s="332" t="str">
        <f>IF(RIGHT(IF(OR(X72="",X73=""),"",IF(CONCATENATE(IF(X72="Yes","R-squared / ",""),IF(X73="Yes","Brier score / ",""),IF(X74="Yes",Z74,""))="","Not evaluated",CONCATENATE(IF(X72="Yes","R-squared / ",""),IF(X73="Yes","Brier score / ",""),IF(X74="Yes",Z74,"")))),2)="/ ",LEFT(IF(OR(X72="",X73=""),"",IF(CONCATENATE(IF(X72="Yes","R-squared / ",""),IF(X73="Yes","Brier score / ",""),IF(X74="Yes",Z74,""))="","Not evaluated",CONCATENATE(IF(X72="Yes","R-squared / ",""),IF(X73="Yes","Brier score / ",""),IF(X74="Yes",Z74,"")))),LEN(IF(OR(X72="",X73=""),"",IF(CONCATENATE(IF(X72="Yes","R-squared / ",""),IF(X73="Yes","Brier score / ",""),IF(X74="Yes",Z74,""))="","Not evaluated",CONCATENATE(IF(X72="Yes","R-squared / ",""),IF(X73="Yes","Brier score / ",""),IF(X74="Yes",Z74,"")))))-2),IF(OR(X72="",X73=""),"",IF(CONCATENATE(IF(X72="Yes","R-squared / ",""),IF(X73="Yes","Brier score / ",""),IF(X74="Yes",Z74,""))="","Not evaluated",CONCATENATE(IF(X72="Yes","R-squared / ",""),IF(X73="Yes","Brier score / ",""),IF(X74="Yes",Z74,"")))))</f>
        <v xml:space="preserve">Brier score </v>
      </c>
      <c r="Y71" s="333"/>
      <c r="Z71" s="333"/>
      <c r="AA71" s="332" t="str">
        <f>IF(RIGHT(IF(OR(AA72="",AA73=""),"",IF(CONCATENATE(IF(AA72="Yes","R-squared / ",""),IF(AA73="Yes","Brier score / ",""),IF(AA74="Yes",AC74,""))="","Not evaluated",CONCATENATE(IF(AA72="Yes","R-squared / ",""),IF(AA73="Yes","Brier score / ",""),IF(AA74="Yes",AC74,"")))),2)="/ ",LEFT(IF(OR(AA72="",AA73=""),"",IF(CONCATENATE(IF(AA72="Yes","R-squared / ",""),IF(AA73="Yes","Brier score / ",""),IF(AA74="Yes",AC74,""))="","Not evaluated",CONCATENATE(IF(AA72="Yes","R-squared / ",""),IF(AA73="Yes","Brier score / ",""),IF(AA74="Yes",AC74,"")))),LEN(IF(OR(AA72="",AA73=""),"",IF(CONCATENATE(IF(AA72="Yes","R-squared / ",""),IF(AA73="Yes","Brier score / ",""),IF(AA74="Yes",AC74,""))="","Not evaluated",CONCATENATE(IF(AA72="Yes","R-squared / ",""),IF(AA73="Yes","Brier score / ",""),IF(AA74="Yes",AC74,"")))))-2),IF(OR(AA72="",AA73=""),"",IF(CONCATENATE(IF(AA72="Yes","R-squared / ",""),IF(AA73="Yes","Brier score / ",""),IF(AA74="Yes",AC74,""))="","Not evaluated",CONCATENATE(IF(AA72="Yes","R-squared / ",""),IF(AA73="Yes","Brier score / ",""),IF(AA74="Yes",AC74,"")))))</f>
        <v>Not evaluated</v>
      </c>
      <c r="AB71" s="333"/>
      <c r="AC71" s="333"/>
      <c r="AD71" s="332" t="str">
        <f>IF(RIGHT(IF(OR(AD72="",AD73=""),"",IF(CONCATENATE(IF(AD72="Yes","R-squared / ",""),IF(AD73="Yes","Brier score / ",""),IF(AD74="Yes",AF74,""))="","Not evaluated",CONCATENATE(IF(AD72="Yes","R-squared / ",""),IF(AD73="Yes","Brier score / ",""),IF(AD74="Yes",AF74,"")))),2)="/ ",LEFT(IF(OR(AD72="",AD73=""),"",IF(CONCATENATE(IF(AD72="Yes","R-squared / ",""),IF(AD73="Yes","Brier score / ",""),IF(AD74="Yes",AF74,""))="","Not evaluated",CONCATENATE(IF(AD72="Yes","R-squared / ",""),IF(AD73="Yes","Brier score / ",""),IF(AD74="Yes",AF74,"")))),LEN(IF(OR(AD72="",AD73=""),"",IF(CONCATENATE(IF(AD72="Yes","R-squared / ",""),IF(AD73="Yes","Brier score / ",""),IF(AD74="Yes",AF74,""))="","Not evaluated",CONCATENATE(IF(AD72="Yes","R-squared / ",""),IF(AD73="Yes","Brier score / ",""),IF(AD74="Yes",AF74,"")))))-2),IF(OR(AD72="",AD73=""),"",IF(CONCATENATE(IF(AD72="Yes","R-squared / ",""),IF(AD73="Yes","Brier score / ",""),IF(AD74="Yes",AF74,""))="","Not evaluated",CONCATENATE(IF(AD72="Yes","R-squared / ",""),IF(AD73="Yes","Brier score / ",""),IF(AD74="Yes",AF74,"")))))</f>
        <v>Not evaluated</v>
      </c>
      <c r="AE71" s="333"/>
      <c r="AF71" s="333"/>
      <c r="AG71" s="332" t="str">
        <f>IF(RIGHT(IF(OR(AG72="",AG73=""),"",IF(CONCATENATE(IF(AG72="Yes","R-squared / ",""),IF(AG73="Yes","Brier score / ",""),IF(AG74="Yes",AI74,""))="","Not evaluated",CONCATENATE(IF(AG72="Yes","R-squared / ",""),IF(AG73="Yes","Brier score / ",""),IF(AG74="Yes",AI74,"")))),2)="/ ",LEFT(IF(OR(AG72="",AG73=""),"",IF(CONCATENATE(IF(AG72="Yes","R-squared / ",""),IF(AG73="Yes","Brier score / ",""),IF(AG74="Yes",AI74,""))="","Not evaluated",CONCATENATE(IF(AG72="Yes","R-squared / ",""),IF(AG73="Yes","Brier score / ",""),IF(AG74="Yes",AI74,"")))),LEN(IF(OR(AG72="",AG73=""),"",IF(CONCATENATE(IF(AG72="Yes","R-squared / ",""),IF(AG73="Yes","Brier score / ",""),IF(AG74="Yes",AI74,""))="","Not evaluated",CONCATENATE(IF(AG72="Yes","R-squared / ",""),IF(AG73="Yes","Brier score / ",""),IF(AG74="Yes",AI74,"")))))-2),IF(OR(AG72="",AG73=""),"",IF(CONCATENATE(IF(AG72="Yes","R-squared / ",""),IF(AG73="Yes","Brier score / ",""),IF(AG74="Yes",AI74,""))="","Not evaluated",CONCATENATE(IF(AG72="Yes","R-squared / ",""),IF(AG73="Yes","Brier score / ",""),IF(AG74="Yes",AI74,"")))))</f>
        <v xml:space="preserve">Brier score </v>
      </c>
      <c r="AH71" s="333"/>
      <c r="AI71" s="333"/>
      <c r="AJ71" s="332" t="str">
        <f>IF(RIGHT(IF(OR(AJ72="",AJ73=""),"",IF(CONCATENATE(IF(AJ72="Yes","R-squared / ",""),IF(AJ73="Yes","Brier score / ",""),IF(AJ74="Yes",AL74,""))="","Not evaluated",CONCATENATE(IF(AJ72="Yes","R-squared / ",""),IF(AJ73="Yes","Brier score / ",""),IF(AJ74="Yes",AL74,"")))),2)="/ ",LEFT(IF(OR(AJ72="",AJ73=""),"",IF(CONCATENATE(IF(AJ72="Yes","R-squared / ",""),IF(AJ73="Yes","Brier score / ",""),IF(AJ74="Yes",AL74,""))="","Not evaluated",CONCATENATE(IF(AJ72="Yes","R-squared / ",""),IF(AJ73="Yes","Brier score / ",""),IF(AJ74="Yes",AL74,"")))),LEN(IF(OR(AJ72="",AJ73=""),"",IF(CONCATENATE(IF(AJ72="Yes","R-squared / ",""),IF(AJ73="Yes","Brier score / ",""),IF(AJ74="Yes",AL74,""))="","Not evaluated",CONCATENATE(IF(AJ72="Yes","R-squared / ",""),IF(AJ73="Yes","Brier score / ",""),IF(AJ74="Yes",AL74,"")))))-2),IF(OR(AJ72="",AJ73=""),"",IF(CONCATENATE(IF(AJ72="Yes","R-squared / ",""),IF(AJ73="Yes","Brier score / ",""),IF(AJ74="Yes",AL74,""))="","Not evaluated",CONCATENATE(IF(AJ72="Yes","R-squared / ",""),IF(AJ73="Yes","Brier score / ",""),IF(AJ74="Yes",AL74,"")))))</f>
        <v xml:space="preserve">Brier score </v>
      </c>
      <c r="AK71" s="333"/>
      <c r="AL71" s="333"/>
      <c r="AM71" s="332" t="str">
        <f>IF(RIGHT(IF(OR(AM72="",AM73=""),"",IF(CONCATENATE(IF(AM72="Yes","R-squared / ",""),IF(AM73="Yes","Brier score / ",""),IF(AM74="Yes",AO74,""))="","Not evaluated",CONCATENATE(IF(AM72="Yes","R-squared / ",""),IF(AM73="Yes","Brier score / ",""),IF(AM74="Yes",AO74,"")))),2)="/ ",LEFT(IF(OR(AM72="",AM73=""),"",IF(CONCATENATE(IF(AM72="Yes","R-squared / ",""),IF(AM73="Yes","Brier score / ",""),IF(AM74="Yes",AO74,""))="","Not evaluated",CONCATENATE(IF(AM72="Yes","R-squared / ",""),IF(AM73="Yes","Brier score / ",""),IF(AM74="Yes",AO74,"")))),LEN(IF(OR(AM72="",AM73=""),"",IF(CONCATENATE(IF(AM72="Yes","R-squared / ",""),IF(AM73="Yes","Brier score / ",""),IF(AM74="Yes",AO74,""))="","Not evaluated",CONCATENATE(IF(AM72="Yes","R-squared / ",""),IF(AM73="Yes","Brier score / ",""),IF(AM74="Yes",AO74,"")))))-2),IF(OR(AM72="",AM73=""),"",IF(CONCATENATE(IF(AM72="Yes","R-squared / ",""),IF(AM73="Yes","Brier score / ",""),IF(AM74="Yes",AO74,""))="","Not evaluated",CONCATENATE(IF(AM72="Yes","R-squared / ",""),IF(AM73="Yes","Brier score / ",""),IF(AM74="Yes",AO74,"")))))</f>
        <v/>
      </c>
      <c r="AN71" s="333"/>
      <c r="AO71" s="333"/>
      <c r="AP71" s="332" t="str">
        <f>IF(RIGHT(IF(OR(AP72="",AP73=""),"",IF(CONCATENATE(IF(AP72="Yes","R-squared / ",""),IF(AP73="Yes","Brier score / ",""),IF(AP74="Yes",AR74,""))="","Not evaluated",CONCATENATE(IF(AP72="Yes","R-squared / ",""),IF(AP73="Yes","Brier score / ",""),IF(AP74="Yes",AR74,"")))),2)="/ ",LEFT(IF(OR(AP72="",AP73=""),"",IF(CONCATENATE(IF(AP72="Yes","R-squared / ",""),IF(AP73="Yes","Brier score / ",""),IF(AP74="Yes",AR74,""))="","Not evaluated",CONCATENATE(IF(AP72="Yes","R-squared / ",""),IF(AP73="Yes","Brier score / ",""),IF(AP74="Yes",AR74,"")))),LEN(IF(OR(AP72="",AP73=""),"",IF(CONCATENATE(IF(AP72="Yes","R-squared / ",""),IF(AP73="Yes","Brier score / ",""),IF(AP74="Yes",AR74,""))="","Not evaluated",CONCATENATE(IF(AP72="Yes","R-squared / ",""),IF(AP73="Yes","Brier score / ",""),IF(AP74="Yes",AR74,"")))))-2),IF(OR(AP72="",AP73=""),"",IF(CONCATENATE(IF(AP72="Yes","R-squared / ",""),IF(AP73="Yes","Brier score / ",""),IF(AP74="Yes",AR74,""))="","Not evaluated",CONCATENATE(IF(AP72="Yes","R-squared / ",""),IF(AP73="Yes","Brier score / ",""),IF(AP74="Yes",AR74,"")))))</f>
        <v/>
      </c>
      <c r="AQ71" s="333"/>
      <c r="AR71" s="333"/>
      <c r="AS71" s="332" t="str">
        <f>IF(RIGHT(IF(OR(AS72="",AS73=""),"",IF(CONCATENATE(IF(AS72="Yes","R-squared / ",""),IF(AS73="Yes","Brier score / ",""),IF(AS74="Yes",AU74,""))="","Not evaluated",CONCATENATE(IF(AS72="Yes","R-squared / ",""),IF(AS73="Yes","Brier score / ",""),IF(AS74="Yes",AU74,"")))),2)="/ ",LEFT(IF(OR(AS72="",AS73=""),"",IF(CONCATENATE(IF(AS72="Yes","R-squared / ",""),IF(AS73="Yes","Brier score / ",""),IF(AS74="Yes",AU74,""))="","Not evaluated",CONCATENATE(IF(AS72="Yes","R-squared / ",""),IF(AS73="Yes","Brier score / ",""),IF(AS74="Yes",AU74,"")))),LEN(IF(OR(AS72="",AS73=""),"",IF(CONCATENATE(IF(AS72="Yes","R-squared / ",""),IF(AS73="Yes","Brier score / ",""),IF(AS74="Yes",AU74,""))="","Not evaluated",CONCATENATE(IF(AS72="Yes","R-squared / ",""),IF(AS73="Yes","Brier score / ",""),IF(AS74="Yes",AU74,"")))))-2),IF(OR(AS72="",AS73=""),"",IF(CONCATENATE(IF(AS72="Yes","R-squared / ",""),IF(AS73="Yes","Brier score / ",""),IF(AS74="Yes",AU74,""))="","Not evaluated",CONCATENATE(IF(AS72="Yes","R-squared / ",""),IF(AS73="Yes","Brier score / ",""),IF(AS74="Yes",AU74,"")))))</f>
        <v/>
      </c>
      <c r="AT71" s="333"/>
      <c r="AU71" s="333"/>
      <c r="AV71" s="332" t="str">
        <f>IF(RIGHT(IF(OR(AV72="",AV73=""),"",IF(CONCATENATE(IF(AV72="Yes","R-squared / ",""),IF(AV73="Yes","Brier score / ",""),IF(AV74="Yes",AX74,""))="","Not evaluated",CONCATENATE(IF(AV72="Yes","R-squared / ",""),IF(AV73="Yes","Brier score / ",""),IF(AV74="Yes",AX74,"")))),2)="/ ",LEFT(IF(OR(AV72="",AV73=""),"",IF(CONCATENATE(IF(AV72="Yes","R-squared / ",""),IF(AV73="Yes","Brier score / ",""),IF(AV74="Yes",AX74,""))="","Not evaluated",CONCATENATE(IF(AV72="Yes","R-squared / ",""),IF(AV73="Yes","Brier score / ",""),IF(AV74="Yes",AX74,"")))),LEN(IF(OR(AV72="",AV73=""),"",IF(CONCATENATE(IF(AV72="Yes","R-squared / ",""),IF(AV73="Yes","Brier score / ",""),IF(AV74="Yes",AX74,""))="","Not evaluated",CONCATENATE(IF(AV72="Yes","R-squared / ",""),IF(AV73="Yes","Brier score / ",""),IF(AV74="Yes",AX74,"")))))-2),IF(OR(AV72="",AV73=""),"",IF(CONCATENATE(IF(AV72="Yes","R-squared / ",""),IF(AV73="Yes","Brier score / ",""),IF(AV74="Yes",AX74,""))="","Not evaluated",CONCATENATE(IF(AV72="Yes","R-squared / ",""),IF(AV73="Yes","Brier score / ",""),IF(AV74="Yes",AX74,"")))))</f>
        <v/>
      </c>
      <c r="AW71" s="333"/>
      <c r="AX71" s="333"/>
      <c r="AY71" s="332" t="str">
        <f>IF(RIGHT(IF(OR(AY72="",AY73=""),"",IF(CONCATENATE(IF(AY72="Yes","R-squared / ",""),IF(AY73="Yes","Brier score / ",""),IF(AY74="Yes",BA74,""))="","Not evaluated",CONCATENATE(IF(AY72="Yes","R-squared / ",""),IF(AY73="Yes","Brier score / ",""),IF(AY74="Yes",BA74,"")))),2)="/ ",LEFT(IF(OR(AY72="",AY73=""),"",IF(CONCATENATE(IF(AY72="Yes","R-squared / ",""),IF(AY73="Yes","Brier score / ",""),IF(AY74="Yes",BA74,""))="","Not evaluated",CONCATENATE(IF(AY72="Yes","R-squared / ",""),IF(AY73="Yes","Brier score / ",""),IF(AY74="Yes",BA74,"")))),LEN(IF(OR(AY72="",AY73=""),"",IF(CONCATENATE(IF(AY72="Yes","R-squared / ",""),IF(AY73="Yes","Brier score / ",""),IF(AY74="Yes",BA74,""))="","Not evaluated",CONCATENATE(IF(AY72="Yes","R-squared / ",""),IF(AY73="Yes","Brier score / ",""),IF(AY74="Yes",BA74,"")))))-2),IF(OR(AY72="",AY73=""),"",IF(CONCATENATE(IF(AY72="Yes","R-squared / ",""),IF(AY73="Yes","Brier score / ",""),IF(AY74="Yes",BA74,""))="","Not evaluated",CONCATENATE(IF(AY72="Yes","R-squared / ",""),IF(AY73="Yes","Brier score / ",""),IF(AY74="Yes",BA74,"")))))</f>
        <v/>
      </c>
      <c r="AZ71" s="333"/>
      <c r="BA71" s="333"/>
      <c r="BB71" s="332" t="str">
        <f>IF(RIGHT(IF(OR(BB72="",BB73=""),"",IF(CONCATENATE(IF(BB72="Yes","R-squared / ",""),IF(BB73="Yes","Brier score / ",""),IF(BB74="Yes",BD74,""))="","Not evaluated",CONCATENATE(IF(BB72="Yes","R-squared / ",""),IF(BB73="Yes","Brier score / ",""),IF(BB74="Yes",BD74,"")))),2)="/ ",LEFT(IF(OR(BB72="",BB73=""),"",IF(CONCATENATE(IF(BB72="Yes","R-squared / ",""),IF(BB73="Yes","Brier score / ",""),IF(BB74="Yes",BD74,""))="","Not evaluated",CONCATENATE(IF(BB72="Yes","R-squared / ",""),IF(BB73="Yes","Brier score / ",""),IF(BB74="Yes",BD74,"")))),LEN(IF(OR(BB72="",BB73=""),"",IF(CONCATENATE(IF(BB72="Yes","R-squared / ",""),IF(BB73="Yes","Brier score / ",""),IF(BB74="Yes",BD74,""))="","Not evaluated",CONCATENATE(IF(BB72="Yes","R-squared / ",""),IF(BB73="Yes","Brier score / ",""),IF(BB74="Yes",BD74,"")))))-2),IF(OR(BB72="",BB73=""),"",IF(CONCATENATE(IF(BB72="Yes","R-squared / ",""),IF(BB73="Yes","Brier score / ",""),IF(BB74="Yes",BD74,""))="","Not evaluated",CONCATENATE(IF(BB72="Yes","R-squared / ",""),IF(BB73="Yes","Brier score / ",""),IF(BB74="Yes",BD74,"")))))</f>
        <v/>
      </c>
      <c r="BC71" s="333"/>
      <c r="BD71" s="333"/>
      <c r="BE71" s="332" t="str">
        <f>IF(RIGHT(IF(OR(BE72="",BE73=""),"",IF(CONCATENATE(IF(BE72="Yes","R-squared / ",""),IF(BE73="Yes","Brier score / ",""),IF(BE74="Yes",BG74,""))="","Not evaluated",CONCATENATE(IF(BE72="Yes","R-squared / ",""),IF(BE73="Yes","Brier score / ",""),IF(BE74="Yes",BG74,"")))),2)="/ ",LEFT(IF(OR(BE72="",BE73=""),"",IF(CONCATENATE(IF(BE72="Yes","R-squared / ",""),IF(BE73="Yes","Brier score / ",""),IF(BE74="Yes",BG74,""))="","Not evaluated",CONCATENATE(IF(BE72="Yes","R-squared / ",""),IF(BE73="Yes","Brier score / ",""),IF(BE74="Yes",BG74,"")))),LEN(IF(OR(BE72="",BE73=""),"",IF(CONCATENATE(IF(BE72="Yes","R-squared / ",""),IF(BE73="Yes","Brier score / ",""),IF(BE74="Yes",BG74,""))="","Not evaluated",CONCATENATE(IF(BE72="Yes","R-squared / ",""),IF(BE73="Yes","Brier score / ",""),IF(BE74="Yes",BG74,"")))))-2),IF(OR(BE72="",BE73=""),"",IF(CONCATENATE(IF(BE72="Yes","R-squared / ",""),IF(BE73="Yes","Brier score / ",""),IF(BE74="Yes",BG74,""))="","Not evaluated",CONCATENATE(IF(BE72="Yes","R-squared / ",""),IF(BE73="Yes","Brier score / ",""),IF(BE74="Yes",BG74,"")))))</f>
        <v/>
      </c>
      <c r="BF71" s="333"/>
      <c r="BG71" s="333"/>
      <c r="BH71" s="332" t="str">
        <f>IF(RIGHT(IF(OR(BH72="",BH73=""),"",IF(CONCATENATE(IF(BH72="Yes","R-squared / ",""),IF(BH73="Yes","Brier score / ",""),IF(BH74="Yes",BJ74,""))="","Not evaluated",CONCATENATE(IF(BH72="Yes","R-squared / ",""),IF(BH73="Yes","Brier score / ",""),IF(BH74="Yes",BJ74,"")))),2)="/ ",LEFT(IF(OR(BH72="",BH73=""),"",IF(CONCATENATE(IF(BH72="Yes","R-squared / ",""),IF(BH73="Yes","Brier score / ",""),IF(BH74="Yes",BJ74,""))="","Not evaluated",CONCATENATE(IF(BH72="Yes","R-squared / ",""),IF(BH73="Yes","Brier score / ",""),IF(BH74="Yes",BJ74,"")))),LEN(IF(OR(BH72="",BH73=""),"",IF(CONCATENATE(IF(BH72="Yes","R-squared / ",""),IF(BH73="Yes","Brier score / ",""),IF(BH74="Yes",BJ74,""))="","Not evaluated",CONCATENATE(IF(BH72="Yes","R-squared / ",""),IF(BH73="Yes","Brier score / ",""),IF(BH74="Yes",BJ74,"")))))-2),IF(OR(BH72="",BH73=""),"",IF(CONCATENATE(IF(BH72="Yes","R-squared / ",""),IF(BH73="Yes","Brier score / ",""),IF(BH74="Yes",BJ74,""))="","Not evaluated",CONCATENATE(IF(BH72="Yes","R-squared / ",""),IF(BH73="Yes","Brier score / ",""),IF(BH74="Yes",BJ74,"")))))</f>
        <v/>
      </c>
      <c r="BI71" s="333"/>
      <c r="BJ71" s="333"/>
      <c r="BK71" s="332" t="str">
        <f>IF(RIGHT(IF(OR(BK72="",BK73=""),"",IF(CONCATENATE(IF(BK72="Yes","R-squared / ",""),IF(BK73="Yes","Brier score / ",""),IF(BK74="Yes",BM74,""))="","Not evaluated",CONCATENATE(IF(BK72="Yes","R-squared / ",""),IF(BK73="Yes","Brier score / ",""),IF(BK74="Yes",BM74,"")))),2)="/ ",LEFT(IF(OR(BK72="",BK73=""),"",IF(CONCATENATE(IF(BK72="Yes","R-squared / ",""),IF(BK73="Yes","Brier score / ",""),IF(BK74="Yes",BM74,""))="","Not evaluated",CONCATENATE(IF(BK72="Yes","R-squared / ",""),IF(BK73="Yes","Brier score / ",""),IF(BK74="Yes",BM74,"")))),LEN(IF(OR(BK72="",BK73=""),"",IF(CONCATENATE(IF(BK72="Yes","R-squared / ",""),IF(BK73="Yes","Brier score / ",""),IF(BK74="Yes",BM74,""))="","Not evaluated",CONCATENATE(IF(BK72="Yes","R-squared / ",""),IF(BK73="Yes","Brier score / ",""),IF(BK74="Yes",BM74,"")))))-2),IF(OR(BK72="",BK73=""),"",IF(CONCATENATE(IF(BK72="Yes","R-squared / ",""),IF(BK73="Yes","Brier score / ",""),IF(BK74="Yes",BM74,""))="","Not evaluated",CONCATENATE(IF(BK72="Yes","R-squared / ",""),IF(BK73="Yes","Brier score / ",""),IF(BK74="Yes",BM74,"")))))</f>
        <v/>
      </c>
      <c r="BL71" s="333"/>
      <c r="BM71" s="333"/>
      <c r="BN71" s="332" t="str">
        <f>IF(RIGHT(IF(OR(BN72="",BN73=""),"",IF(CONCATENATE(IF(BN72="Yes","R-squared / ",""),IF(BN73="Yes","Brier score / ",""),IF(BN74="Yes",BP74,""))="","Not evaluated",CONCATENATE(IF(BN72="Yes","R-squared / ",""),IF(BN73="Yes","Brier score / ",""),IF(BN74="Yes",BP74,"")))),2)="/ ",LEFT(IF(OR(BN72="",BN73=""),"",IF(CONCATENATE(IF(BN72="Yes","R-squared / ",""),IF(BN73="Yes","Brier score / ",""),IF(BN74="Yes",BP74,""))="","Not evaluated",CONCATENATE(IF(BN72="Yes","R-squared / ",""),IF(BN73="Yes","Brier score / ",""),IF(BN74="Yes",BP74,"")))),LEN(IF(OR(BN72="",BN73=""),"",IF(CONCATENATE(IF(BN72="Yes","R-squared / ",""),IF(BN73="Yes","Brier score / ",""),IF(BN74="Yes",BP74,""))="","Not evaluated",CONCATENATE(IF(BN72="Yes","R-squared / ",""),IF(BN73="Yes","Brier score / ",""),IF(BN74="Yes",BP74,"")))))-2),IF(OR(BN72="",BN73=""),"",IF(CONCATENATE(IF(BN72="Yes","R-squared / ",""),IF(BN73="Yes","Brier score / ",""),IF(BN74="Yes",BP74,""))="","Not evaluated",CONCATENATE(IF(BN72="Yes","R-squared / ",""),IF(BN73="Yes","Brier score / ",""),IF(BN74="Yes",BP74,"")))))</f>
        <v/>
      </c>
      <c r="BO71" s="333"/>
      <c r="BP71" s="333"/>
      <c r="BQ71" s="332" t="str">
        <f>IF(RIGHT(IF(OR(BQ72="",BQ73=""),"",IF(CONCATENATE(IF(BQ72="Yes","R-squared / ",""),IF(BQ73="Yes","Brier score / ",""),IF(BQ74="Yes",BS74,""))="","Not evaluated",CONCATENATE(IF(BQ72="Yes","R-squared / ",""),IF(BQ73="Yes","Brier score / ",""),IF(BQ74="Yes",BS74,"")))),2)="/ ",LEFT(IF(OR(BQ72="",BQ73=""),"",IF(CONCATENATE(IF(BQ72="Yes","R-squared / ",""),IF(BQ73="Yes","Brier score / ",""),IF(BQ74="Yes",BS74,""))="","Not evaluated",CONCATENATE(IF(BQ72="Yes","R-squared / ",""),IF(BQ73="Yes","Brier score / ",""),IF(BQ74="Yes",BS74,"")))),LEN(IF(OR(BQ72="",BQ73=""),"",IF(CONCATENATE(IF(BQ72="Yes","R-squared / ",""),IF(BQ73="Yes","Brier score / ",""),IF(BQ74="Yes",BS74,""))="","Not evaluated",CONCATENATE(IF(BQ72="Yes","R-squared / ",""),IF(BQ73="Yes","Brier score / ",""),IF(BQ74="Yes",BS74,"")))))-2),IF(OR(BQ72="",BQ73=""),"",IF(CONCATENATE(IF(BQ72="Yes","R-squared / ",""),IF(BQ73="Yes","Brier score / ",""),IF(BQ74="Yes",BS74,""))="","Not evaluated",CONCATENATE(IF(BQ72="Yes","R-squared / ",""),IF(BQ73="Yes","Brier score / ",""),IF(BQ74="Yes",BS74,"")))))</f>
        <v/>
      </c>
      <c r="BR71" s="333"/>
      <c r="BS71" s="333"/>
      <c r="BT71" s="332" t="str">
        <f>IF(RIGHT(IF(OR(BT72="",BT73=""),"",IF(CONCATENATE(IF(BT72="Yes","R-squared / ",""),IF(BT73="Yes","Brier score / ",""),IF(BT74="Yes",BV74,""))="","Not evaluated",CONCATENATE(IF(BT72="Yes","R-squared / ",""),IF(BT73="Yes","Brier score / ",""),IF(BT74="Yes",BV74,"")))),2)="/ ",LEFT(IF(OR(BT72="",BT73=""),"",IF(CONCATENATE(IF(BT72="Yes","R-squared / ",""),IF(BT73="Yes","Brier score / ",""),IF(BT74="Yes",BV74,""))="","Not evaluated",CONCATENATE(IF(BT72="Yes","R-squared / ",""),IF(BT73="Yes","Brier score / ",""),IF(BT74="Yes",BV74,"")))),LEN(IF(OR(BT72="",BT73=""),"",IF(CONCATENATE(IF(BT72="Yes","R-squared / ",""),IF(BT73="Yes","Brier score / ",""),IF(BT74="Yes",BV74,""))="","Not evaluated",CONCATENATE(IF(BT72="Yes","R-squared / ",""),IF(BT73="Yes","Brier score / ",""),IF(BT74="Yes",BV74,"")))))-2),IF(OR(BT72="",BT73=""),"",IF(CONCATENATE(IF(BT72="Yes","R-squared / ",""),IF(BT73="Yes","Brier score / ",""),IF(BT74="Yes",BV74,""))="","Not evaluated",CONCATENATE(IF(BT72="Yes","R-squared / ",""),IF(BT73="Yes","Brier score / ",""),IF(BT74="Yes",BV74,"")))))</f>
        <v/>
      </c>
      <c r="BU71" s="333"/>
      <c r="BV71" s="333"/>
      <c r="BW71" s="332" t="str">
        <f>IF(RIGHT(IF(OR(BW72="",BW73=""),"",IF(CONCATENATE(IF(BW72="Yes","R-squared / ",""),IF(BW73="Yes","Brier score / ",""),IF(BW74="Yes",BY74,""))="","Not evaluated",CONCATENATE(IF(BW72="Yes","R-squared / ",""),IF(BW73="Yes","Brier score / ",""),IF(BW74="Yes",BY74,"")))),2)="/ ",LEFT(IF(OR(BW72="",BW73=""),"",IF(CONCATENATE(IF(BW72="Yes","R-squared / ",""),IF(BW73="Yes","Brier score / ",""),IF(BW74="Yes",BY74,""))="","Not evaluated",CONCATENATE(IF(BW72="Yes","R-squared / ",""),IF(BW73="Yes","Brier score / ",""),IF(BW74="Yes",BY74,"")))),LEN(IF(OR(BW72="",BW73=""),"",IF(CONCATENATE(IF(BW72="Yes","R-squared / ",""),IF(BW73="Yes","Brier score / ",""),IF(BW74="Yes",BY74,""))="","Not evaluated",CONCATENATE(IF(BW72="Yes","R-squared / ",""),IF(BW73="Yes","Brier score / ",""),IF(BW74="Yes",BY74,"")))))-2),IF(OR(BW72="",BW73=""),"",IF(CONCATENATE(IF(BW72="Yes","R-squared / ",""),IF(BW73="Yes","Brier score / ",""),IF(BW74="Yes",BY74,""))="","Not evaluated",CONCATENATE(IF(BW72="Yes","R-squared / ",""),IF(BW73="Yes","Brier score / ",""),IF(BW74="Yes",BY74,"")))))</f>
        <v/>
      </c>
      <c r="BX71" s="333"/>
      <c r="BY71" s="333"/>
      <c r="BZ71" s="332" t="str">
        <f>IF(RIGHT(IF(OR(BZ72="",BZ73=""),"",IF(CONCATENATE(IF(BZ72="Yes","R-squared / ",""),IF(BZ73="Yes","Brier score / ",""),IF(BZ74="Yes",CB74,""))="","Not evaluated",CONCATENATE(IF(BZ72="Yes","R-squared / ",""),IF(BZ73="Yes","Brier score / ",""),IF(BZ74="Yes",CB74,"")))),2)="/ ",LEFT(IF(OR(BZ72="",BZ73=""),"",IF(CONCATENATE(IF(BZ72="Yes","R-squared / ",""),IF(BZ73="Yes","Brier score / ",""),IF(BZ74="Yes",CB74,""))="","Not evaluated",CONCATENATE(IF(BZ72="Yes","R-squared / ",""),IF(BZ73="Yes","Brier score / ",""),IF(BZ74="Yes",CB74,"")))),LEN(IF(OR(BZ72="",BZ73=""),"",IF(CONCATENATE(IF(BZ72="Yes","R-squared / ",""),IF(BZ73="Yes","Brier score / ",""),IF(BZ74="Yes",CB74,""))="","Not evaluated",CONCATENATE(IF(BZ72="Yes","R-squared / ",""),IF(BZ73="Yes","Brier score / ",""),IF(BZ74="Yes",CB74,"")))))-2),IF(OR(BZ72="",BZ73=""),"",IF(CONCATENATE(IF(BZ72="Yes","R-squared / ",""),IF(BZ73="Yes","Brier score / ",""),IF(BZ74="Yes",CB74,""))="","Not evaluated",CONCATENATE(IF(BZ72="Yes","R-squared / ",""),IF(BZ73="Yes","Brier score / ",""),IF(BZ74="Yes",CB74,"")))))</f>
        <v/>
      </c>
      <c r="CA71" s="333"/>
      <c r="CB71" s="333"/>
      <c r="CC71" s="332" t="str">
        <f>IF(RIGHT(IF(OR(CC72="",CC73=""),"",IF(CONCATENATE(IF(CC72="Yes","R-squared / ",""),IF(CC73="Yes","Brier score / ",""),IF(CC74="Yes",CE74,""))="","Not evaluated",CONCATENATE(IF(CC72="Yes","R-squared / ",""),IF(CC73="Yes","Brier score / ",""),IF(CC74="Yes",CE74,"")))),2)="/ ",LEFT(IF(OR(CC72="",CC73=""),"",IF(CONCATENATE(IF(CC72="Yes","R-squared / ",""),IF(CC73="Yes","Brier score / ",""),IF(CC74="Yes",CE74,""))="","Not evaluated",CONCATENATE(IF(CC72="Yes","R-squared / ",""),IF(CC73="Yes","Brier score / ",""),IF(CC74="Yes",CE74,"")))),LEN(IF(OR(CC72="",CC73=""),"",IF(CONCATENATE(IF(CC72="Yes","R-squared / ",""),IF(CC73="Yes","Brier score / ",""),IF(CC74="Yes",CE74,""))="","Not evaluated",CONCATENATE(IF(CC72="Yes","R-squared / ",""),IF(CC73="Yes","Brier score / ",""),IF(CC74="Yes",CE74,"")))))-2),IF(OR(CC72="",CC73=""),"",IF(CONCATENATE(IF(CC72="Yes","R-squared / ",""),IF(CC73="Yes","Brier score / ",""),IF(CC74="Yes",CE74,""))="","Not evaluated",CONCATENATE(IF(CC72="Yes","R-squared / ",""),IF(CC73="Yes","Brier score / ",""),IF(CC74="Yes",CE74,"")))))</f>
        <v/>
      </c>
      <c r="CD71" s="333"/>
      <c r="CE71" s="333"/>
      <c r="CF71" s="332" t="str">
        <f>IF(RIGHT(IF(OR(CF72="",CF73=""),"",IF(CONCATENATE(IF(CF72="Yes","R-squared / ",""),IF(CF73="Yes","Brier score / ",""),IF(CF74="Yes",CH74,""))="","Not evaluated",CONCATENATE(IF(CF72="Yes","R-squared / ",""),IF(CF73="Yes","Brier score / ",""),IF(CF74="Yes",CH74,"")))),2)="/ ",LEFT(IF(OR(CF72="",CF73=""),"",IF(CONCATENATE(IF(CF72="Yes","R-squared / ",""),IF(CF73="Yes","Brier score / ",""),IF(CF74="Yes",CH74,""))="","Not evaluated",CONCATENATE(IF(CF72="Yes","R-squared / ",""),IF(CF73="Yes","Brier score / ",""),IF(CF74="Yes",CH74,"")))),LEN(IF(OR(CF72="",CF73=""),"",IF(CONCATENATE(IF(CF72="Yes","R-squared / ",""),IF(CF73="Yes","Brier score / ",""),IF(CF74="Yes",CH74,""))="","Not evaluated",CONCATENATE(IF(CF72="Yes","R-squared / ",""),IF(CF73="Yes","Brier score / ",""),IF(CF74="Yes",CH74,"")))))-2),IF(OR(CF72="",CF73=""),"",IF(CONCATENATE(IF(CF72="Yes","R-squared / ",""),IF(CF73="Yes","Brier score / ",""),IF(CF74="Yes",CH74,""))="","Not evaluated",CONCATENATE(IF(CF72="Yes","R-squared / ",""),IF(CF73="Yes","Brier score / ",""),IF(CF74="Yes",CH74,"")))))</f>
        <v/>
      </c>
      <c r="CG71" s="333"/>
      <c r="CH71" s="333"/>
      <c r="CI71" s="332" t="str">
        <f>IF(RIGHT(IF(OR(CI72="",CI73=""),"",IF(CONCATENATE(IF(CI72="Yes","R-squared / ",""),IF(CI73="Yes","Brier score / ",""),IF(CI74="Yes",CK74,""))="","Not evaluated",CONCATENATE(IF(CI72="Yes","R-squared / ",""),IF(CI73="Yes","Brier score / ",""),IF(CI74="Yes",CK74,"")))),2)="/ ",LEFT(IF(OR(CI72="",CI73=""),"",IF(CONCATENATE(IF(CI72="Yes","R-squared / ",""),IF(CI73="Yes","Brier score / ",""),IF(CI74="Yes",CK74,""))="","Not evaluated",CONCATENATE(IF(CI72="Yes","R-squared / ",""),IF(CI73="Yes","Brier score / ",""),IF(CI74="Yes",CK74,"")))),LEN(IF(OR(CI72="",CI73=""),"",IF(CONCATENATE(IF(CI72="Yes","R-squared / ",""),IF(CI73="Yes","Brier score / ",""),IF(CI74="Yes",CK74,""))="","Not evaluated",CONCATENATE(IF(CI72="Yes","R-squared / ",""),IF(CI73="Yes","Brier score / ",""),IF(CI74="Yes",CK74,"")))))-2),IF(OR(CI72="",CI73=""),"",IF(CONCATENATE(IF(CI72="Yes","R-squared / ",""),IF(CI73="Yes","Brier score / ",""),IF(CI74="Yes",CK74,""))="","Not evaluated",CONCATENATE(IF(CI72="Yes","R-squared / ",""),IF(CI73="Yes","Brier score / ",""),IF(CI74="Yes",CK74,"")))))</f>
        <v/>
      </c>
      <c r="CJ71" s="333"/>
      <c r="CK71" s="333"/>
      <c r="CL71" s="332" t="str">
        <f>IF(RIGHT(IF(OR(CL72="",CL73=""),"",IF(CONCATENATE(IF(CL72="Yes","R-squared / ",""),IF(CL73="Yes","Brier score / ",""),IF(CL74="Yes",CN74,""))="","Not evaluated",CONCATENATE(IF(CL72="Yes","R-squared / ",""),IF(CL73="Yes","Brier score / ",""),IF(CL74="Yes",CN74,"")))),2)="/ ",LEFT(IF(OR(CL72="",CL73=""),"",IF(CONCATENATE(IF(CL72="Yes","R-squared / ",""),IF(CL73="Yes","Brier score / ",""),IF(CL74="Yes",CN74,""))="","Not evaluated",CONCATENATE(IF(CL72="Yes","R-squared / ",""),IF(CL73="Yes","Brier score / ",""),IF(CL74="Yes",CN74,"")))),LEN(IF(OR(CL72="",CL73=""),"",IF(CONCATENATE(IF(CL72="Yes","R-squared / ",""),IF(CL73="Yes","Brier score / ",""),IF(CL74="Yes",CN74,""))="","Not evaluated",CONCATENATE(IF(CL72="Yes","R-squared / ",""),IF(CL73="Yes","Brier score / ",""),IF(CL74="Yes",CN74,"")))))-2),IF(OR(CL72="",CL73=""),"",IF(CONCATENATE(IF(CL72="Yes","R-squared / ",""),IF(CL73="Yes","Brier score / ",""),IF(CL74="Yes",CN74,""))="","Not evaluated",CONCATENATE(IF(CL72="Yes","R-squared / ",""),IF(CL73="Yes","Brier score / ",""),IF(CL74="Yes",CN74,"")))))</f>
        <v/>
      </c>
      <c r="CM71" s="333"/>
      <c r="CN71" s="333"/>
      <c r="CO71" s="332" t="str">
        <f>IF(RIGHT(IF(OR(CO72="",CO73=""),"",IF(CONCATENATE(IF(CO72="Yes","R-squared / ",""),IF(CO73="Yes","Brier score / ",""),IF(CO74="Yes",CQ74,""))="","Not evaluated",CONCATENATE(IF(CO72="Yes","R-squared / ",""),IF(CO73="Yes","Brier score / ",""),IF(CO74="Yes",CQ74,"")))),2)="/ ",LEFT(IF(OR(CO72="",CO73=""),"",IF(CONCATENATE(IF(CO72="Yes","R-squared / ",""),IF(CO73="Yes","Brier score / ",""),IF(CO74="Yes",CQ74,""))="","Not evaluated",CONCATENATE(IF(CO72="Yes","R-squared / ",""),IF(CO73="Yes","Brier score / ",""),IF(CO74="Yes",CQ74,"")))),LEN(IF(OR(CO72="",CO73=""),"",IF(CONCATENATE(IF(CO72="Yes","R-squared / ",""),IF(CO73="Yes","Brier score / ",""),IF(CO74="Yes",CQ74,""))="","Not evaluated",CONCATENATE(IF(CO72="Yes","R-squared / ",""),IF(CO73="Yes","Brier score / ",""),IF(CO74="Yes",CQ74,"")))))-2),IF(OR(CO72="",CO73=""),"",IF(CONCATENATE(IF(CO72="Yes","R-squared / ",""),IF(CO73="Yes","Brier score / ",""),IF(CO74="Yes",CQ74,""))="","Not evaluated",CONCATENATE(IF(CO72="Yes","R-squared / ",""),IF(CO73="Yes","Brier score / ",""),IF(CO74="Yes",CQ74,"")))))</f>
        <v/>
      </c>
      <c r="CP71" s="333"/>
      <c r="CQ71" s="333"/>
    </row>
    <row r="72" spans="1:95" s="13" customFormat="1" ht="15" customHeight="1" x14ac:dyDescent="0.25">
      <c r="A72" s="62"/>
      <c r="B72" s="62" t="s">
        <v>67</v>
      </c>
      <c r="C72" s="62"/>
      <c r="D72" s="274" t="s">
        <v>247</v>
      </c>
      <c r="E72" s="275"/>
      <c r="F72" s="38" t="s">
        <v>173</v>
      </c>
      <c r="G72" s="52" t="s">
        <v>218</v>
      </c>
      <c r="H72" s="46"/>
      <c r="I72" s="38" t="s">
        <v>173</v>
      </c>
      <c r="J72" s="52" t="s">
        <v>218</v>
      </c>
      <c r="K72" s="46"/>
      <c r="L72" s="38" t="s">
        <v>173</v>
      </c>
      <c r="M72" s="52" t="s">
        <v>218</v>
      </c>
      <c r="N72" s="46"/>
      <c r="O72" s="38" t="s">
        <v>173</v>
      </c>
      <c r="P72" s="52" t="s">
        <v>218</v>
      </c>
      <c r="Q72" s="46"/>
      <c r="R72" s="38" t="s">
        <v>173</v>
      </c>
      <c r="S72" s="52" t="s">
        <v>218</v>
      </c>
      <c r="T72" s="46"/>
      <c r="U72" s="38" t="s">
        <v>173</v>
      </c>
      <c r="V72" s="52" t="s">
        <v>218</v>
      </c>
      <c r="W72" s="46"/>
      <c r="X72" s="38" t="s">
        <v>173</v>
      </c>
      <c r="Y72" s="52" t="s">
        <v>218</v>
      </c>
      <c r="Z72" s="46"/>
      <c r="AA72" s="38" t="s">
        <v>173</v>
      </c>
      <c r="AB72" s="52" t="s">
        <v>218</v>
      </c>
      <c r="AC72" s="46"/>
      <c r="AD72" s="38" t="s">
        <v>173</v>
      </c>
      <c r="AE72" s="52" t="s">
        <v>218</v>
      </c>
      <c r="AF72" s="46"/>
      <c r="AG72" s="38" t="s">
        <v>173</v>
      </c>
      <c r="AH72" s="52" t="s">
        <v>218</v>
      </c>
      <c r="AI72" s="46"/>
      <c r="AJ72" s="38" t="s">
        <v>173</v>
      </c>
      <c r="AK72" s="52" t="s">
        <v>218</v>
      </c>
      <c r="AL72" s="46"/>
      <c r="AM72" s="38"/>
      <c r="AN72" s="52" t="s">
        <v>218</v>
      </c>
      <c r="AO72" s="46"/>
      <c r="AP72" s="38"/>
      <c r="AQ72" s="52" t="s">
        <v>218</v>
      </c>
      <c r="AR72" s="46"/>
      <c r="AS72" s="38"/>
      <c r="AT72" s="52" t="s">
        <v>218</v>
      </c>
      <c r="AU72" s="46"/>
      <c r="AV72" s="38"/>
      <c r="AW72" s="52" t="s">
        <v>218</v>
      </c>
      <c r="AX72" s="46"/>
      <c r="AY72" s="38"/>
      <c r="AZ72" s="52" t="s">
        <v>218</v>
      </c>
      <c r="BA72" s="46"/>
      <c r="BB72" s="38"/>
      <c r="BC72" s="52" t="s">
        <v>218</v>
      </c>
      <c r="BD72" s="46"/>
      <c r="BE72" s="38"/>
      <c r="BF72" s="52" t="s">
        <v>218</v>
      </c>
      <c r="BG72" s="46"/>
      <c r="BH72" s="38"/>
      <c r="BI72" s="52" t="s">
        <v>218</v>
      </c>
      <c r="BJ72" s="46"/>
      <c r="BK72" s="38"/>
      <c r="BL72" s="52" t="s">
        <v>218</v>
      </c>
      <c r="BM72" s="46"/>
      <c r="BN72" s="38"/>
      <c r="BO72" s="52" t="s">
        <v>218</v>
      </c>
      <c r="BP72" s="46"/>
      <c r="BQ72" s="38"/>
      <c r="BR72" s="52" t="s">
        <v>218</v>
      </c>
      <c r="BS72" s="46"/>
      <c r="BT72" s="38"/>
      <c r="BU72" s="52" t="s">
        <v>218</v>
      </c>
      <c r="BV72" s="46"/>
      <c r="BW72" s="38"/>
      <c r="BX72" s="52" t="s">
        <v>218</v>
      </c>
      <c r="BY72" s="46"/>
      <c r="BZ72" s="38"/>
      <c r="CA72" s="52" t="s">
        <v>218</v>
      </c>
      <c r="CB72" s="46"/>
      <c r="CC72" s="38"/>
      <c r="CD72" s="52" t="s">
        <v>218</v>
      </c>
      <c r="CE72" s="46"/>
      <c r="CF72" s="38"/>
      <c r="CG72" s="52" t="s">
        <v>218</v>
      </c>
      <c r="CH72" s="46"/>
      <c r="CI72" s="38"/>
      <c r="CJ72" s="52" t="s">
        <v>218</v>
      </c>
      <c r="CK72" s="46"/>
      <c r="CL72" s="38"/>
      <c r="CM72" s="52" t="s">
        <v>218</v>
      </c>
      <c r="CN72" s="46"/>
      <c r="CO72" s="37"/>
      <c r="CP72" s="52" t="s">
        <v>218</v>
      </c>
      <c r="CQ72" s="46"/>
    </row>
    <row r="73" spans="1:95" s="13" customFormat="1" ht="15" customHeight="1" x14ac:dyDescent="0.25">
      <c r="A73" s="62"/>
      <c r="B73" s="62" t="s">
        <v>67</v>
      </c>
      <c r="C73" s="62"/>
      <c r="D73" s="274" t="s">
        <v>248</v>
      </c>
      <c r="E73" s="275"/>
      <c r="F73" s="38" t="s">
        <v>173</v>
      </c>
      <c r="G73" s="52" t="s">
        <v>218</v>
      </c>
      <c r="H73" s="46"/>
      <c r="I73" s="38" t="s">
        <v>173</v>
      </c>
      <c r="J73" s="52" t="s">
        <v>218</v>
      </c>
      <c r="K73" s="46"/>
      <c r="L73" s="38" t="s">
        <v>173</v>
      </c>
      <c r="M73" s="52" t="s">
        <v>218</v>
      </c>
      <c r="N73" s="46"/>
      <c r="O73" s="38" t="s">
        <v>168</v>
      </c>
      <c r="P73" s="52" t="s">
        <v>218</v>
      </c>
      <c r="Q73" s="46">
        <v>0.1</v>
      </c>
      <c r="R73" s="38" t="s">
        <v>173</v>
      </c>
      <c r="S73" s="52" t="s">
        <v>218</v>
      </c>
      <c r="T73" s="46"/>
      <c r="U73" s="38" t="s">
        <v>173</v>
      </c>
      <c r="V73" s="52" t="s">
        <v>218</v>
      </c>
      <c r="W73" s="46"/>
      <c r="X73" s="38" t="s">
        <v>168</v>
      </c>
      <c r="Y73" s="52" t="s">
        <v>218</v>
      </c>
      <c r="Z73" s="46" t="s">
        <v>249</v>
      </c>
      <c r="AA73" s="38" t="s">
        <v>173</v>
      </c>
      <c r="AB73" s="52" t="s">
        <v>218</v>
      </c>
      <c r="AC73" s="46"/>
      <c r="AD73" s="38" t="s">
        <v>173</v>
      </c>
      <c r="AE73" s="52" t="s">
        <v>218</v>
      </c>
      <c r="AF73" s="46"/>
      <c r="AG73" s="38" t="s">
        <v>168</v>
      </c>
      <c r="AH73" s="52" t="s">
        <v>218</v>
      </c>
      <c r="AI73" s="46">
        <v>0.159</v>
      </c>
      <c r="AJ73" s="38" t="s">
        <v>168</v>
      </c>
      <c r="AK73" s="52" t="s">
        <v>218</v>
      </c>
      <c r="AL73" s="46">
        <v>0.159</v>
      </c>
      <c r="AM73" s="38"/>
      <c r="AN73" s="52" t="s">
        <v>218</v>
      </c>
      <c r="AO73" s="46"/>
      <c r="AP73" s="38"/>
      <c r="AQ73" s="52" t="s">
        <v>218</v>
      </c>
      <c r="AR73" s="46"/>
      <c r="AS73" s="38"/>
      <c r="AT73" s="52" t="s">
        <v>218</v>
      </c>
      <c r="AU73" s="46"/>
      <c r="AV73" s="38"/>
      <c r="AW73" s="52" t="s">
        <v>218</v>
      </c>
      <c r="AX73" s="46"/>
      <c r="AY73" s="38"/>
      <c r="AZ73" s="52" t="s">
        <v>218</v>
      </c>
      <c r="BA73" s="46"/>
      <c r="BB73" s="38"/>
      <c r="BC73" s="52" t="s">
        <v>218</v>
      </c>
      <c r="BD73" s="46"/>
      <c r="BE73" s="38"/>
      <c r="BF73" s="52" t="s">
        <v>218</v>
      </c>
      <c r="BG73" s="46"/>
      <c r="BH73" s="38"/>
      <c r="BI73" s="52" t="s">
        <v>218</v>
      </c>
      <c r="BJ73" s="46"/>
      <c r="BK73" s="38"/>
      <c r="BL73" s="52" t="s">
        <v>218</v>
      </c>
      <c r="BM73" s="46"/>
      <c r="BN73" s="38"/>
      <c r="BO73" s="52" t="s">
        <v>218</v>
      </c>
      <c r="BP73" s="46"/>
      <c r="BQ73" s="38"/>
      <c r="BR73" s="52" t="s">
        <v>218</v>
      </c>
      <c r="BS73" s="46"/>
      <c r="BT73" s="38"/>
      <c r="BU73" s="52" t="s">
        <v>218</v>
      </c>
      <c r="BV73" s="46"/>
      <c r="BW73" s="38"/>
      <c r="BX73" s="52" t="s">
        <v>218</v>
      </c>
      <c r="BY73" s="46"/>
      <c r="BZ73" s="38"/>
      <c r="CA73" s="52" t="s">
        <v>218</v>
      </c>
      <c r="CB73" s="46"/>
      <c r="CC73" s="38"/>
      <c r="CD73" s="52" t="s">
        <v>218</v>
      </c>
      <c r="CE73" s="46"/>
      <c r="CF73" s="38"/>
      <c r="CG73" s="52" t="s">
        <v>218</v>
      </c>
      <c r="CH73" s="46"/>
      <c r="CI73" s="38"/>
      <c r="CJ73" s="52" t="s">
        <v>218</v>
      </c>
      <c r="CK73" s="46"/>
      <c r="CL73" s="38"/>
      <c r="CM73" s="52" t="s">
        <v>218</v>
      </c>
      <c r="CN73" s="46"/>
      <c r="CO73" s="37"/>
      <c r="CP73" s="52" t="s">
        <v>218</v>
      </c>
      <c r="CQ73" s="46"/>
    </row>
    <row r="74" spans="1:95" s="13" customFormat="1" ht="15" customHeight="1" x14ac:dyDescent="0.25">
      <c r="A74" s="62"/>
      <c r="B74" s="62" t="s">
        <v>67</v>
      </c>
      <c r="C74" s="62"/>
      <c r="D74" s="296" t="s">
        <v>250</v>
      </c>
      <c r="E74" s="297"/>
      <c r="F74" s="38" t="s">
        <v>173</v>
      </c>
      <c r="G74" s="53" t="s">
        <v>226</v>
      </c>
      <c r="H74" s="47"/>
      <c r="I74" s="38" t="s">
        <v>173</v>
      </c>
      <c r="J74" s="53" t="s">
        <v>226</v>
      </c>
      <c r="K74" s="47"/>
      <c r="L74" s="38" t="s">
        <v>173</v>
      </c>
      <c r="M74" s="53" t="s">
        <v>226</v>
      </c>
      <c r="N74" s="47"/>
      <c r="O74" s="38" t="s">
        <v>173</v>
      </c>
      <c r="P74" s="53" t="s">
        <v>226</v>
      </c>
      <c r="Q74" s="47"/>
      <c r="R74" s="38" t="s">
        <v>173</v>
      </c>
      <c r="S74" s="53" t="s">
        <v>226</v>
      </c>
      <c r="T74" s="47"/>
      <c r="U74" s="38" t="s">
        <v>173</v>
      </c>
      <c r="V74" s="53" t="s">
        <v>226</v>
      </c>
      <c r="W74" s="47"/>
      <c r="X74" s="38" t="s">
        <v>173</v>
      </c>
      <c r="Y74" s="53" t="s">
        <v>226</v>
      </c>
      <c r="Z74" s="47"/>
      <c r="AA74" s="38" t="s">
        <v>173</v>
      </c>
      <c r="AB74" s="53" t="s">
        <v>226</v>
      </c>
      <c r="AC74" s="47"/>
      <c r="AD74" s="38" t="s">
        <v>173</v>
      </c>
      <c r="AE74" s="53" t="s">
        <v>226</v>
      </c>
      <c r="AF74" s="47"/>
      <c r="AG74" s="38" t="s">
        <v>173</v>
      </c>
      <c r="AH74" s="53" t="s">
        <v>226</v>
      </c>
      <c r="AI74" s="47"/>
      <c r="AJ74" s="38" t="s">
        <v>173</v>
      </c>
      <c r="AK74" s="53" t="s">
        <v>226</v>
      </c>
      <c r="AL74" s="47"/>
      <c r="AM74" s="38"/>
      <c r="AN74" s="53" t="s">
        <v>226</v>
      </c>
      <c r="AO74" s="47"/>
      <c r="AP74" s="38"/>
      <c r="AQ74" s="53" t="s">
        <v>226</v>
      </c>
      <c r="AR74" s="47"/>
      <c r="AS74" s="38"/>
      <c r="AT74" s="53" t="s">
        <v>226</v>
      </c>
      <c r="AU74" s="47"/>
      <c r="AV74" s="38"/>
      <c r="AW74" s="53" t="s">
        <v>226</v>
      </c>
      <c r="AX74" s="47"/>
      <c r="AY74" s="38"/>
      <c r="AZ74" s="53" t="s">
        <v>226</v>
      </c>
      <c r="BA74" s="47"/>
      <c r="BB74" s="38"/>
      <c r="BC74" s="53" t="s">
        <v>226</v>
      </c>
      <c r="BD74" s="47"/>
      <c r="BE74" s="38"/>
      <c r="BF74" s="53" t="s">
        <v>226</v>
      </c>
      <c r="BG74" s="47"/>
      <c r="BH74" s="38"/>
      <c r="BI74" s="53" t="s">
        <v>226</v>
      </c>
      <c r="BJ74" s="47"/>
      <c r="BK74" s="38"/>
      <c r="BL74" s="53" t="s">
        <v>226</v>
      </c>
      <c r="BM74" s="47"/>
      <c r="BN74" s="38"/>
      <c r="BO74" s="53" t="s">
        <v>226</v>
      </c>
      <c r="BP74" s="47"/>
      <c r="BQ74" s="38"/>
      <c r="BR74" s="53" t="s">
        <v>226</v>
      </c>
      <c r="BS74" s="47"/>
      <c r="BT74" s="38"/>
      <c r="BU74" s="53" t="s">
        <v>226</v>
      </c>
      <c r="BV74" s="47"/>
      <c r="BW74" s="38"/>
      <c r="BX74" s="53" t="s">
        <v>226</v>
      </c>
      <c r="BY74" s="47"/>
      <c r="BZ74" s="38"/>
      <c r="CA74" s="53" t="s">
        <v>226</v>
      </c>
      <c r="CB74" s="47"/>
      <c r="CC74" s="38"/>
      <c r="CD74" s="53" t="s">
        <v>226</v>
      </c>
      <c r="CE74" s="47"/>
      <c r="CF74" s="38"/>
      <c r="CG74" s="53" t="s">
        <v>226</v>
      </c>
      <c r="CH74" s="47"/>
      <c r="CI74" s="38"/>
      <c r="CJ74" s="53" t="s">
        <v>226</v>
      </c>
      <c r="CK74" s="47"/>
      <c r="CL74" s="38"/>
      <c r="CM74" s="53" t="s">
        <v>226</v>
      </c>
      <c r="CN74" s="47"/>
      <c r="CO74" s="37"/>
      <c r="CP74" s="53" t="s">
        <v>226</v>
      </c>
      <c r="CQ74" s="47"/>
    </row>
    <row r="75" spans="1:95" s="13" customFormat="1" ht="15" customHeight="1" x14ac:dyDescent="0.25">
      <c r="A75" s="62"/>
      <c r="B75" s="62" t="s">
        <v>67</v>
      </c>
      <c r="C75" s="62"/>
      <c r="D75" s="294" t="s">
        <v>251</v>
      </c>
      <c r="E75" s="295"/>
      <c r="F75" s="277" t="str">
        <f>IF(RIGHT(IF(F76="","",IF(CONCATENATE(IF(F76="Yes","DCA / ",""),IF(F77="Yes",H77,""))="","Not evaluated",CONCATENATE(IF(F76="Yes","DCA / ",""),IF(F77="Yes",H77,"")))),2)="/ ",LEFT(IF(F76="","",IF(CONCATENATE(IF(F76="Yes","DCA / ",""),IF(F77="Yes",H77,""))="","Not evaluated",CONCATENATE(IF(F76="Yes","DCA / ",""),IF(F77="Yes",H77,"")))),LEN(IF(F76="","",IF(CONCATENATE(IF(F76="Yes","DCA / ",""),IF(F77="Yes",H77,""))="","Not evaluated",CONCATENATE(IF(F76="Yes","DCA / ",""),IF(F77="Yes",H77,"")))))-2),IF(F76="","",IF(CONCATENATE(IF(F76="Yes","DCA / ",""),IF(F77="Yes",H77,""))="","Not evaluated",CONCATENATE(IF(F76="Yes","DCA / ",""),IF(F77="Yes",H77,"")))))</f>
        <v>Not evaluated</v>
      </c>
      <c r="G75" s="278"/>
      <c r="H75" s="278"/>
      <c r="I75" s="278" t="str">
        <f t="shared" ref="I75" si="0">IF(RIGHT(IF(I76="","",IF(CONCATENATE(IF(I76="Yes","DCA / ",""),IF(I77="Yes",K77,""))="","Not evaluated",CONCATENATE(IF(I76="Yes","DCA / ",""),IF(I77="Yes",K77,"")))),2)="/ ",LEFT(IF(I76="","",IF(CONCATENATE(IF(I76="Yes","DCA / ",""),IF(I77="Yes",K77,""))="","Not evaluated",CONCATENATE(IF(I76="Yes","DCA / ",""),IF(I77="Yes",K77,"")))),LEN(IF(I76="","",IF(CONCATENATE(IF(I76="Yes","DCA / ",""),IF(I77="Yes",K77,""))="","Not evaluated",CONCATENATE(IF(I76="Yes","DCA / ",""),IF(I77="Yes",K77,"")))))-2),IF(I76="","",IF(CONCATENATE(IF(I76="Yes","DCA / ",""),IF(I77="Yes",K77,""))="","Not evaluated",CONCATENATE(IF(I76="Yes","DCA / ",""),IF(I77="Yes",K77,"")))))</f>
        <v>Not evaluated</v>
      </c>
      <c r="J75" s="278"/>
      <c r="K75" s="278"/>
      <c r="L75" s="278" t="str">
        <f t="shared" ref="L75" si="1">IF(RIGHT(IF(L76="","",IF(CONCATENATE(IF(L76="Yes","DCA / ",""),IF(L77="Yes",N77,""))="","Not evaluated",CONCATENATE(IF(L76="Yes","DCA / ",""),IF(L77="Yes",N77,"")))),2)="/ ",LEFT(IF(L76="","",IF(CONCATENATE(IF(L76="Yes","DCA / ",""),IF(L77="Yes",N77,""))="","Not evaluated",CONCATENATE(IF(L76="Yes","DCA / ",""),IF(L77="Yes",N77,"")))),LEN(IF(L76="","",IF(CONCATENATE(IF(L76="Yes","DCA / ",""),IF(L77="Yes",N77,""))="","Not evaluated",CONCATENATE(IF(L76="Yes","DCA / ",""),IF(L77="Yes",N77,"")))))-2),IF(L76="","",IF(CONCATENATE(IF(L76="Yes","DCA / ",""),IF(L77="Yes",N77,""))="","Not evaluated",CONCATENATE(IF(L76="Yes","DCA / ",""),IF(L77="Yes",N77,"")))))</f>
        <v>Not evaluated</v>
      </c>
      <c r="M75" s="278"/>
      <c r="N75" s="278"/>
      <c r="O75" s="278" t="str">
        <f t="shared" ref="O75" si="2">IF(RIGHT(IF(O76="","",IF(CONCATENATE(IF(O76="Yes","DCA / ",""),IF(O77="Yes",Q77,""))="","Not evaluated",CONCATENATE(IF(O76="Yes","DCA / ",""),IF(O77="Yes",Q77,"")))),2)="/ ",LEFT(IF(O76="","",IF(CONCATENATE(IF(O76="Yes","DCA / ",""),IF(O77="Yes",Q77,""))="","Not evaluated",CONCATENATE(IF(O76="Yes","DCA / ",""),IF(O77="Yes",Q77,"")))),LEN(IF(O76="","",IF(CONCATENATE(IF(O76="Yes","DCA / ",""),IF(O77="Yes",Q77,""))="","Not evaluated",CONCATENATE(IF(O76="Yes","DCA / ",""),IF(O77="Yes",Q77,"")))))-2),IF(O76="","",IF(CONCATENATE(IF(O76="Yes","DCA / ",""),IF(O77="Yes",Q77,""))="","Not evaluated",CONCATENATE(IF(O76="Yes","DCA / ",""),IF(O77="Yes",Q77,"")))))</f>
        <v>Not evaluated</v>
      </c>
      <c r="P75" s="278"/>
      <c r="Q75" s="278"/>
      <c r="R75" s="278" t="str">
        <f t="shared" ref="R75" si="3">IF(RIGHT(IF(R76="","",IF(CONCATENATE(IF(R76="Yes","DCA / ",""),IF(R77="Yes",T77,""))="","Not evaluated",CONCATENATE(IF(R76="Yes","DCA / ",""),IF(R77="Yes",T77,"")))),2)="/ ",LEFT(IF(R76="","",IF(CONCATENATE(IF(R76="Yes","DCA / ",""),IF(R77="Yes",T77,""))="","Not evaluated",CONCATENATE(IF(R76="Yes","DCA / ",""),IF(R77="Yes",T77,"")))),LEN(IF(R76="","",IF(CONCATENATE(IF(R76="Yes","DCA / ",""),IF(R77="Yes",T77,""))="","Not evaluated",CONCATENATE(IF(R76="Yes","DCA / ",""),IF(R77="Yes",T77,"")))))-2),IF(R76="","",IF(CONCATENATE(IF(R76="Yes","DCA / ",""),IF(R77="Yes",T77,""))="","Not evaluated",CONCATENATE(IF(R76="Yes","DCA / ",""),IF(R77="Yes",T77,"")))))</f>
        <v>Not evaluated</v>
      </c>
      <c r="S75" s="278"/>
      <c r="T75" s="278"/>
      <c r="U75" s="278" t="str">
        <f t="shared" ref="U75" si="4">IF(RIGHT(IF(U76="","",IF(CONCATENATE(IF(U76="Yes","DCA / ",""),IF(U77="Yes",W77,""))="","Not evaluated",CONCATENATE(IF(U76="Yes","DCA / ",""),IF(U77="Yes",W77,"")))),2)="/ ",LEFT(IF(U76="","",IF(CONCATENATE(IF(U76="Yes","DCA / ",""),IF(U77="Yes",W77,""))="","Not evaluated",CONCATENATE(IF(U76="Yes","DCA / ",""),IF(U77="Yes",W77,"")))),LEN(IF(U76="","",IF(CONCATENATE(IF(U76="Yes","DCA / ",""),IF(U77="Yes",W77,""))="","Not evaluated",CONCATENATE(IF(U76="Yes","DCA / ",""),IF(U77="Yes",W77,"")))))-2),IF(U76="","",IF(CONCATENATE(IF(U76="Yes","DCA / ",""),IF(U77="Yes",W77,""))="","Not evaluated",CONCATENATE(IF(U76="Yes","DCA / ",""),IF(U77="Yes",W77,"")))))</f>
        <v>Not evaluated</v>
      </c>
      <c r="V75" s="278"/>
      <c r="W75" s="278"/>
      <c r="X75" s="278" t="str">
        <f t="shared" ref="X75" si="5">IF(RIGHT(IF(X76="","",IF(CONCATENATE(IF(X76="Yes","DCA / ",""),IF(X77="Yes",Z77,""))="","Not evaluated",CONCATENATE(IF(X76="Yes","DCA / ",""),IF(X77="Yes",Z77,"")))),2)="/ ",LEFT(IF(X76="","",IF(CONCATENATE(IF(X76="Yes","DCA / ",""),IF(X77="Yes",Z77,""))="","Not evaluated",CONCATENATE(IF(X76="Yes","DCA / ",""),IF(X77="Yes",Z77,"")))),LEN(IF(X76="","",IF(CONCATENATE(IF(X76="Yes","DCA / ",""),IF(X77="Yes",Z77,""))="","Not evaluated",CONCATENATE(IF(X76="Yes","DCA / ",""),IF(X77="Yes",Z77,"")))))-2),IF(X76="","",IF(CONCATENATE(IF(X76="Yes","DCA / ",""),IF(X77="Yes",Z77,""))="","Not evaluated",CONCATENATE(IF(X76="Yes","DCA / ",""),IF(X77="Yes",Z77,"")))))</f>
        <v>Not evaluated</v>
      </c>
      <c r="Y75" s="278"/>
      <c r="Z75" s="278"/>
      <c r="AA75" s="278" t="str">
        <f t="shared" ref="AA75" si="6">IF(RIGHT(IF(AA76="","",IF(CONCATENATE(IF(AA76="Yes","DCA / ",""),IF(AA77="Yes",AC77,""))="","Not evaluated",CONCATENATE(IF(AA76="Yes","DCA / ",""),IF(AA77="Yes",AC77,"")))),2)="/ ",LEFT(IF(AA76="","",IF(CONCATENATE(IF(AA76="Yes","DCA / ",""),IF(AA77="Yes",AC77,""))="","Not evaluated",CONCATENATE(IF(AA76="Yes","DCA / ",""),IF(AA77="Yes",AC77,"")))),LEN(IF(AA76="","",IF(CONCATENATE(IF(AA76="Yes","DCA / ",""),IF(AA77="Yes",AC77,""))="","Not evaluated",CONCATENATE(IF(AA76="Yes","DCA / ",""),IF(AA77="Yes",AC77,"")))))-2),IF(AA76="","",IF(CONCATENATE(IF(AA76="Yes","DCA / ",""),IF(AA77="Yes",AC77,""))="","Not evaluated",CONCATENATE(IF(AA76="Yes","DCA / ",""),IF(AA77="Yes",AC77,"")))))</f>
        <v>Not evaluated</v>
      </c>
      <c r="AB75" s="278"/>
      <c r="AC75" s="278"/>
      <c r="AD75" s="278" t="str">
        <f t="shared" ref="AD75" si="7">IF(RIGHT(IF(AD76="","",IF(CONCATENATE(IF(AD76="Yes","DCA / ",""),IF(AD77="Yes",AF77,""))="","Not evaluated",CONCATENATE(IF(AD76="Yes","DCA / ",""),IF(AD77="Yes",AF77,"")))),2)="/ ",LEFT(IF(AD76="","",IF(CONCATENATE(IF(AD76="Yes","DCA / ",""),IF(AD77="Yes",AF77,""))="","Not evaluated",CONCATENATE(IF(AD76="Yes","DCA / ",""),IF(AD77="Yes",AF77,"")))),LEN(IF(AD76="","",IF(CONCATENATE(IF(AD76="Yes","DCA / ",""),IF(AD77="Yes",AF77,""))="","Not evaluated",CONCATENATE(IF(AD76="Yes","DCA / ",""),IF(AD77="Yes",AF77,"")))))-2),IF(AD76="","",IF(CONCATENATE(IF(AD76="Yes","DCA / ",""),IF(AD77="Yes",AF77,""))="","Not evaluated",CONCATENATE(IF(AD76="Yes","DCA / ",""),IF(AD77="Yes",AF77,"")))))</f>
        <v>Not evaluated</v>
      </c>
      <c r="AE75" s="278"/>
      <c r="AF75" s="278"/>
      <c r="AG75" s="278" t="str">
        <f t="shared" ref="AG75" si="8">IF(RIGHT(IF(AG76="","",IF(CONCATENATE(IF(AG76="Yes","DCA / ",""),IF(AG77="Yes",AI77,""))="","Not evaluated",CONCATENATE(IF(AG76="Yes","DCA / ",""),IF(AG77="Yes",AI77,"")))),2)="/ ",LEFT(IF(AG76="","",IF(CONCATENATE(IF(AG76="Yes","DCA / ",""),IF(AG77="Yes",AI77,""))="","Not evaluated",CONCATENATE(IF(AG76="Yes","DCA / ",""),IF(AG77="Yes",AI77,"")))),LEN(IF(AG76="","",IF(CONCATENATE(IF(AG76="Yes","DCA / ",""),IF(AG77="Yes",AI77,""))="","Not evaluated",CONCATENATE(IF(AG76="Yes","DCA / ",""),IF(AG77="Yes",AI77,"")))))-2),IF(AG76="","",IF(CONCATENATE(IF(AG76="Yes","DCA / ",""),IF(AG77="Yes",AI77,""))="","Not evaluated",CONCATENATE(IF(AG76="Yes","DCA / ",""),IF(AG77="Yes",AI77,"")))))</f>
        <v>Not evaluated</v>
      </c>
      <c r="AH75" s="278"/>
      <c r="AI75" s="278"/>
      <c r="AJ75" s="278" t="str">
        <f t="shared" ref="AJ75" si="9">IF(RIGHT(IF(AJ76="","",IF(CONCATENATE(IF(AJ76="Yes","DCA / ",""),IF(AJ77="Yes",AL77,""))="","Not evaluated",CONCATENATE(IF(AJ76="Yes","DCA / ",""),IF(AJ77="Yes",AL77,"")))),2)="/ ",LEFT(IF(AJ76="","",IF(CONCATENATE(IF(AJ76="Yes","DCA / ",""),IF(AJ77="Yes",AL77,""))="","Not evaluated",CONCATENATE(IF(AJ76="Yes","DCA / ",""),IF(AJ77="Yes",AL77,"")))),LEN(IF(AJ76="","",IF(CONCATENATE(IF(AJ76="Yes","DCA / ",""),IF(AJ77="Yes",AL77,""))="","Not evaluated",CONCATENATE(IF(AJ76="Yes","DCA / ",""),IF(AJ77="Yes",AL77,"")))))-2),IF(AJ76="","",IF(CONCATENATE(IF(AJ76="Yes","DCA / ",""),IF(AJ77="Yes",AL77,""))="","Not evaluated",CONCATENATE(IF(AJ76="Yes","DCA / ",""),IF(AJ77="Yes",AL77,"")))))</f>
        <v>Not evaluated</v>
      </c>
      <c r="AK75" s="278"/>
      <c r="AL75" s="278"/>
      <c r="AM75" s="278" t="str">
        <f t="shared" ref="AM75" si="10">IF(RIGHT(IF(AM76="","",IF(CONCATENATE(IF(AM76="Yes","DCA / ",""),IF(AM77="Yes",AO77,""))="","Not evaluated",CONCATENATE(IF(AM76="Yes","DCA / ",""),IF(AM77="Yes",AO77,"")))),2)="/ ",LEFT(IF(AM76="","",IF(CONCATENATE(IF(AM76="Yes","DCA / ",""),IF(AM77="Yes",AO77,""))="","Not evaluated",CONCATENATE(IF(AM76="Yes","DCA / ",""),IF(AM77="Yes",AO77,"")))),LEN(IF(AM76="","",IF(CONCATENATE(IF(AM76="Yes","DCA / ",""),IF(AM77="Yes",AO77,""))="","Not evaluated",CONCATENATE(IF(AM76="Yes","DCA / ",""),IF(AM77="Yes",AO77,"")))))-2),IF(AM76="","",IF(CONCATENATE(IF(AM76="Yes","DCA / ",""),IF(AM77="Yes",AO77,""))="","Not evaluated",CONCATENATE(IF(AM76="Yes","DCA / ",""),IF(AM77="Yes",AO77,"")))))</f>
        <v/>
      </c>
      <c r="AN75" s="278"/>
      <c r="AO75" s="278"/>
      <c r="AP75" s="278" t="str">
        <f t="shared" ref="AP75" si="11">IF(RIGHT(IF(AP76="","",IF(CONCATENATE(IF(AP76="Yes","DCA / ",""),IF(AP77="Yes",AR77,""))="","Not evaluated",CONCATENATE(IF(AP76="Yes","DCA / ",""),IF(AP77="Yes",AR77,"")))),2)="/ ",LEFT(IF(AP76="","",IF(CONCATENATE(IF(AP76="Yes","DCA / ",""),IF(AP77="Yes",AR77,""))="","Not evaluated",CONCATENATE(IF(AP76="Yes","DCA / ",""),IF(AP77="Yes",AR77,"")))),LEN(IF(AP76="","",IF(CONCATENATE(IF(AP76="Yes","DCA / ",""),IF(AP77="Yes",AR77,""))="","Not evaluated",CONCATENATE(IF(AP76="Yes","DCA / ",""),IF(AP77="Yes",AR77,"")))))-2),IF(AP76="","",IF(CONCATENATE(IF(AP76="Yes","DCA / ",""),IF(AP77="Yes",AR77,""))="","Not evaluated",CONCATENATE(IF(AP76="Yes","DCA / ",""),IF(AP77="Yes",AR77,"")))))</f>
        <v/>
      </c>
      <c r="AQ75" s="278"/>
      <c r="AR75" s="278"/>
      <c r="AS75" s="278" t="str">
        <f t="shared" ref="AS75" si="12">IF(RIGHT(IF(AS76="","",IF(CONCATENATE(IF(AS76="Yes","DCA / ",""),IF(AS77="Yes",AU77,""))="","Not evaluated",CONCATENATE(IF(AS76="Yes","DCA / ",""),IF(AS77="Yes",AU77,"")))),2)="/ ",LEFT(IF(AS76="","",IF(CONCATENATE(IF(AS76="Yes","DCA / ",""),IF(AS77="Yes",AU77,""))="","Not evaluated",CONCATENATE(IF(AS76="Yes","DCA / ",""),IF(AS77="Yes",AU77,"")))),LEN(IF(AS76="","",IF(CONCATENATE(IF(AS76="Yes","DCA / ",""),IF(AS77="Yes",AU77,""))="","Not evaluated",CONCATENATE(IF(AS76="Yes","DCA / ",""),IF(AS77="Yes",AU77,"")))))-2),IF(AS76="","",IF(CONCATENATE(IF(AS76="Yes","DCA / ",""),IF(AS77="Yes",AU77,""))="","Not evaluated",CONCATENATE(IF(AS76="Yes","DCA / ",""),IF(AS77="Yes",AU77,"")))))</f>
        <v/>
      </c>
      <c r="AT75" s="278"/>
      <c r="AU75" s="278"/>
      <c r="AV75" s="278" t="str">
        <f t="shared" ref="AV75" si="13">IF(RIGHT(IF(AV76="","",IF(CONCATENATE(IF(AV76="Yes","DCA / ",""),IF(AV77="Yes",AX77,""))="","Not evaluated",CONCATENATE(IF(AV76="Yes","DCA / ",""),IF(AV77="Yes",AX77,"")))),2)="/ ",LEFT(IF(AV76="","",IF(CONCATENATE(IF(AV76="Yes","DCA / ",""),IF(AV77="Yes",AX77,""))="","Not evaluated",CONCATENATE(IF(AV76="Yes","DCA / ",""),IF(AV77="Yes",AX77,"")))),LEN(IF(AV76="","",IF(CONCATENATE(IF(AV76="Yes","DCA / ",""),IF(AV77="Yes",AX77,""))="","Not evaluated",CONCATENATE(IF(AV76="Yes","DCA / ",""),IF(AV77="Yes",AX77,"")))))-2),IF(AV76="","",IF(CONCATENATE(IF(AV76="Yes","DCA / ",""),IF(AV77="Yes",AX77,""))="","Not evaluated",CONCATENATE(IF(AV76="Yes","DCA / ",""),IF(AV77="Yes",AX77,"")))))</f>
        <v/>
      </c>
      <c r="AW75" s="278"/>
      <c r="AX75" s="278"/>
      <c r="AY75" s="278" t="str">
        <f t="shared" ref="AY75" si="14">IF(RIGHT(IF(AY76="","",IF(CONCATENATE(IF(AY76="Yes","DCA / ",""),IF(AY77="Yes",BA77,""))="","Not evaluated",CONCATENATE(IF(AY76="Yes","DCA / ",""),IF(AY77="Yes",BA77,"")))),2)="/ ",LEFT(IF(AY76="","",IF(CONCATENATE(IF(AY76="Yes","DCA / ",""),IF(AY77="Yes",BA77,""))="","Not evaluated",CONCATENATE(IF(AY76="Yes","DCA / ",""),IF(AY77="Yes",BA77,"")))),LEN(IF(AY76="","",IF(CONCATENATE(IF(AY76="Yes","DCA / ",""),IF(AY77="Yes",BA77,""))="","Not evaluated",CONCATENATE(IF(AY76="Yes","DCA / ",""),IF(AY77="Yes",BA77,"")))))-2),IF(AY76="","",IF(CONCATENATE(IF(AY76="Yes","DCA / ",""),IF(AY77="Yes",BA77,""))="","Not evaluated",CONCATENATE(IF(AY76="Yes","DCA / ",""),IF(AY77="Yes",BA77,"")))))</f>
        <v/>
      </c>
      <c r="AZ75" s="278"/>
      <c r="BA75" s="278"/>
      <c r="BB75" s="278" t="str">
        <f t="shared" ref="BB75" si="15">IF(RIGHT(IF(BB76="","",IF(CONCATENATE(IF(BB76="Yes","DCA / ",""),IF(BB77="Yes",BD77,""))="","Not evaluated",CONCATENATE(IF(BB76="Yes","DCA / ",""),IF(BB77="Yes",BD77,"")))),2)="/ ",LEFT(IF(BB76="","",IF(CONCATENATE(IF(BB76="Yes","DCA / ",""),IF(BB77="Yes",BD77,""))="","Not evaluated",CONCATENATE(IF(BB76="Yes","DCA / ",""),IF(BB77="Yes",BD77,"")))),LEN(IF(BB76="","",IF(CONCATENATE(IF(BB76="Yes","DCA / ",""),IF(BB77="Yes",BD77,""))="","Not evaluated",CONCATENATE(IF(BB76="Yes","DCA / ",""),IF(BB77="Yes",BD77,"")))))-2),IF(BB76="","",IF(CONCATENATE(IF(BB76="Yes","DCA / ",""),IF(BB77="Yes",BD77,""))="","Not evaluated",CONCATENATE(IF(BB76="Yes","DCA / ",""),IF(BB77="Yes",BD77,"")))))</f>
        <v/>
      </c>
      <c r="BC75" s="278"/>
      <c r="BD75" s="278"/>
      <c r="BE75" s="278" t="str">
        <f t="shared" ref="BE75" si="16">IF(RIGHT(IF(BE76="","",IF(CONCATENATE(IF(BE76="Yes","DCA / ",""),IF(BE77="Yes",BG77,""))="","Not evaluated",CONCATENATE(IF(BE76="Yes","DCA / ",""),IF(BE77="Yes",BG77,"")))),2)="/ ",LEFT(IF(BE76="","",IF(CONCATENATE(IF(BE76="Yes","DCA / ",""),IF(BE77="Yes",BG77,""))="","Not evaluated",CONCATENATE(IF(BE76="Yes","DCA / ",""),IF(BE77="Yes",BG77,"")))),LEN(IF(BE76="","",IF(CONCATENATE(IF(BE76="Yes","DCA / ",""),IF(BE77="Yes",BG77,""))="","Not evaluated",CONCATENATE(IF(BE76="Yes","DCA / ",""),IF(BE77="Yes",BG77,"")))))-2),IF(BE76="","",IF(CONCATENATE(IF(BE76="Yes","DCA / ",""),IF(BE77="Yes",BG77,""))="","Not evaluated",CONCATENATE(IF(BE76="Yes","DCA / ",""),IF(BE77="Yes",BG77,"")))))</f>
        <v/>
      </c>
      <c r="BF75" s="278"/>
      <c r="BG75" s="278"/>
      <c r="BH75" s="278" t="str">
        <f t="shared" ref="BH75" si="17">IF(RIGHT(IF(BH76="","",IF(CONCATENATE(IF(BH76="Yes","DCA / ",""),IF(BH77="Yes",BJ77,""))="","Not evaluated",CONCATENATE(IF(BH76="Yes","DCA / ",""),IF(BH77="Yes",BJ77,"")))),2)="/ ",LEFT(IF(BH76="","",IF(CONCATENATE(IF(BH76="Yes","DCA / ",""),IF(BH77="Yes",BJ77,""))="","Not evaluated",CONCATENATE(IF(BH76="Yes","DCA / ",""),IF(BH77="Yes",BJ77,"")))),LEN(IF(BH76="","",IF(CONCATENATE(IF(BH76="Yes","DCA / ",""),IF(BH77="Yes",BJ77,""))="","Not evaluated",CONCATENATE(IF(BH76="Yes","DCA / ",""),IF(BH77="Yes",BJ77,"")))))-2),IF(BH76="","",IF(CONCATENATE(IF(BH76="Yes","DCA / ",""),IF(BH77="Yes",BJ77,""))="","Not evaluated",CONCATENATE(IF(BH76="Yes","DCA / ",""),IF(BH77="Yes",BJ77,"")))))</f>
        <v/>
      </c>
      <c r="BI75" s="278"/>
      <c r="BJ75" s="278"/>
      <c r="BK75" s="278" t="str">
        <f t="shared" ref="BK75" si="18">IF(RIGHT(IF(BK76="","",IF(CONCATENATE(IF(BK76="Yes","DCA / ",""),IF(BK77="Yes",BM77,""))="","Not evaluated",CONCATENATE(IF(BK76="Yes","DCA / ",""),IF(BK77="Yes",BM77,"")))),2)="/ ",LEFT(IF(BK76="","",IF(CONCATENATE(IF(BK76="Yes","DCA / ",""),IF(BK77="Yes",BM77,""))="","Not evaluated",CONCATENATE(IF(BK76="Yes","DCA / ",""),IF(BK77="Yes",BM77,"")))),LEN(IF(BK76="","",IF(CONCATENATE(IF(BK76="Yes","DCA / ",""),IF(BK77="Yes",BM77,""))="","Not evaluated",CONCATENATE(IF(BK76="Yes","DCA / ",""),IF(BK77="Yes",BM77,"")))))-2),IF(BK76="","",IF(CONCATENATE(IF(BK76="Yes","DCA / ",""),IF(BK77="Yes",BM77,""))="","Not evaluated",CONCATENATE(IF(BK76="Yes","DCA / ",""),IF(BK77="Yes",BM77,"")))))</f>
        <v/>
      </c>
      <c r="BL75" s="278"/>
      <c r="BM75" s="278"/>
      <c r="BN75" s="278" t="str">
        <f t="shared" ref="BN75" si="19">IF(RIGHT(IF(BN76="","",IF(CONCATENATE(IF(BN76="Yes","DCA / ",""),IF(BN77="Yes",BP77,""))="","Not evaluated",CONCATENATE(IF(BN76="Yes","DCA / ",""),IF(BN77="Yes",BP77,"")))),2)="/ ",LEFT(IF(BN76="","",IF(CONCATENATE(IF(BN76="Yes","DCA / ",""),IF(BN77="Yes",BP77,""))="","Not evaluated",CONCATENATE(IF(BN76="Yes","DCA / ",""),IF(BN77="Yes",BP77,"")))),LEN(IF(BN76="","",IF(CONCATENATE(IF(BN76="Yes","DCA / ",""),IF(BN77="Yes",BP77,""))="","Not evaluated",CONCATENATE(IF(BN76="Yes","DCA / ",""),IF(BN77="Yes",BP77,"")))))-2),IF(BN76="","",IF(CONCATENATE(IF(BN76="Yes","DCA / ",""),IF(BN77="Yes",BP77,""))="","Not evaluated",CONCATENATE(IF(BN76="Yes","DCA / ",""),IF(BN77="Yes",BP77,"")))))</f>
        <v/>
      </c>
      <c r="BO75" s="278"/>
      <c r="BP75" s="278"/>
      <c r="BQ75" s="278" t="str">
        <f t="shared" ref="BQ75" si="20">IF(RIGHT(IF(BQ76="","",IF(CONCATENATE(IF(BQ76="Yes","DCA / ",""),IF(BQ77="Yes",BS77,""))="","Not evaluated",CONCATENATE(IF(BQ76="Yes","DCA / ",""),IF(BQ77="Yes",BS77,"")))),2)="/ ",LEFT(IF(BQ76="","",IF(CONCATENATE(IF(BQ76="Yes","DCA / ",""),IF(BQ77="Yes",BS77,""))="","Not evaluated",CONCATENATE(IF(BQ76="Yes","DCA / ",""),IF(BQ77="Yes",BS77,"")))),LEN(IF(BQ76="","",IF(CONCATENATE(IF(BQ76="Yes","DCA / ",""),IF(BQ77="Yes",BS77,""))="","Not evaluated",CONCATENATE(IF(BQ76="Yes","DCA / ",""),IF(BQ77="Yes",BS77,"")))))-2),IF(BQ76="","",IF(CONCATENATE(IF(BQ76="Yes","DCA / ",""),IF(BQ77="Yes",BS77,""))="","Not evaluated",CONCATENATE(IF(BQ76="Yes","DCA / ",""),IF(BQ77="Yes",BS77,"")))))</f>
        <v/>
      </c>
      <c r="BR75" s="278"/>
      <c r="BS75" s="278"/>
      <c r="BT75" s="278" t="str">
        <f t="shared" ref="BT75" si="21">IF(RIGHT(IF(BT76="","",IF(CONCATENATE(IF(BT76="Yes","DCA / ",""),IF(BT77="Yes",BV77,""))="","Not evaluated",CONCATENATE(IF(BT76="Yes","DCA / ",""),IF(BT77="Yes",BV77,"")))),2)="/ ",LEFT(IF(BT76="","",IF(CONCATENATE(IF(BT76="Yes","DCA / ",""),IF(BT77="Yes",BV77,""))="","Not evaluated",CONCATENATE(IF(BT76="Yes","DCA / ",""),IF(BT77="Yes",BV77,"")))),LEN(IF(BT76="","",IF(CONCATENATE(IF(BT76="Yes","DCA / ",""),IF(BT77="Yes",BV77,""))="","Not evaluated",CONCATENATE(IF(BT76="Yes","DCA / ",""),IF(BT77="Yes",BV77,"")))))-2),IF(BT76="","",IF(CONCATENATE(IF(BT76="Yes","DCA / ",""),IF(BT77="Yes",BV77,""))="","Not evaluated",CONCATENATE(IF(BT76="Yes","DCA / ",""),IF(BT77="Yes",BV77,"")))))</f>
        <v/>
      </c>
      <c r="BU75" s="278"/>
      <c r="BV75" s="278"/>
      <c r="BW75" s="278" t="str">
        <f t="shared" ref="BW75" si="22">IF(RIGHT(IF(BW76="","",IF(CONCATENATE(IF(BW76="Yes","DCA / ",""),IF(BW77="Yes",BY77,""))="","Not evaluated",CONCATENATE(IF(BW76="Yes","DCA / ",""),IF(BW77="Yes",BY77,"")))),2)="/ ",LEFT(IF(BW76="","",IF(CONCATENATE(IF(BW76="Yes","DCA / ",""),IF(BW77="Yes",BY77,""))="","Not evaluated",CONCATENATE(IF(BW76="Yes","DCA / ",""),IF(BW77="Yes",BY77,"")))),LEN(IF(BW76="","",IF(CONCATENATE(IF(BW76="Yes","DCA / ",""),IF(BW77="Yes",BY77,""))="","Not evaluated",CONCATENATE(IF(BW76="Yes","DCA / ",""),IF(BW77="Yes",BY77,"")))))-2),IF(BW76="","",IF(CONCATENATE(IF(BW76="Yes","DCA / ",""),IF(BW77="Yes",BY77,""))="","Not evaluated",CONCATENATE(IF(BW76="Yes","DCA / ",""),IF(BW77="Yes",BY77,"")))))</f>
        <v/>
      </c>
      <c r="BX75" s="278"/>
      <c r="BY75" s="278"/>
      <c r="BZ75" s="278" t="str">
        <f t="shared" ref="BZ75" si="23">IF(RIGHT(IF(BZ76="","",IF(CONCATENATE(IF(BZ76="Yes","DCA / ",""),IF(BZ77="Yes",CB77,""))="","Not evaluated",CONCATENATE(IF(BZ76="Yes","DCA / ",""),IF(BZ77="Yes",CB77,"")))),2)="/ ",LEFT(IF(BZ76="","",IF(CONCATENATE(IF(BZ76="Yes","DCA / ",""),IF(BZ77="Yes",CB77,""))="","Not evaluated",CONCATENATE(IF(BZ76="Yes","DCA / ",""),IF(BZ77="Yes",CB77,"")))),LEN(IF(BZ76="","",IF(CONCATENATE(IF(BZ76="Yes","DCA / ",""),IF(BZ77="Yes",CB77,""))="","Not evaluated",CONCATENATE(IF(BZ76="Yes","DCA / ",""),IF(BZ77="Yes",CB77,"")))))-2),IF(BZ76="","",IF(CONCATENATE(IF(BZ76="Yes","DCA / ",""),IF(BZ77="Yes",CB77,""))="","Not evaluated",CONCATENATE(IF(BZ76="Yes","DCA / ",""),IF(BZ77="Yes",CB77,"")))))</f>
        <v/>
      </c>
      <c r="CA75" s="278"/>
      <c r="CB75" s="278"/>
      <c r="CC75" s="278" t="str">
        <f t="shared" ref="CC75" si="24">IF(RIGHT(IF(CC76="","",IF(CONCATENATE(IF(CC76="Yes","DCA / ",""),IF(CC77="Yes",CE77,""))="","Not evaluated",CONCATENATE(IF(CC76="Yes","DCA / ",""),IF(CC77="Yes",CE77,"")))),2)="/ ",LEFT(IF(CC76="","",IF(CONCATENATE(IF(CC76="Yes","DCA / ",""),IF(CC77="Yes",CE77,""))="","Not evaluated",CONCATENATE(IF(CC76="Yes","DCA / ",""),IF(CC77="Yes",CE77,"")))),LEN(IF(CC76="","",IF(CONCATENATE(IF(CC76="Yes","DCA / ",""),IF(CC77="Yes",CE77,""))="","Not evaluated",CONCATENATE(IF(CC76="Yes","DCA / ",""),IF(CC77="Yes",CE77,"")))))-2),IF(CC76="","",IF(CONCATENATE(IF(CC76="Yes","DCA / ",""),IF(CC77="Yes",CE77,""))="","Not evaluated",CONCATENATE(IF(CC76="Yes","DCA / ",""),IF(CC77="Yes",CE77,"")))))</f>
        <v/>
      </c>
      <c r="CD75" s="278"/>
      <c r="CE75" s="278"/>
      <c r="CF75" s="278" t="str">
        <f t="shared" ref="CF75" si="25">IF(RIGHT(IF(CF76="","",IF(CONCATENATE(IF(CF76="Yes","DCA / ",""),IF(CF77="Yes",CH77,""))="","Not evaluated",CONCATENATE(IF(CF76="Yes","DCA / ",""),IF(CF77="Yes",CH77,"")))),2)="/ ",LEFT(IF(CF76="","",IF(CONCATENATE(IF(CF76="Yes","DCA / ",""),IF(CF77="Yes",CH77,""))="","Not evaluated",CONCATENATE(IF(CF76="Yes","DCA / ",""),IF(CF77="Yes",CH77,"")))),LEN(IF(CF76="","",IF(CONCATENATE(IF(CF76="Yes","DCA / ",""),IF(CF77="Yes",CH77,""))="","Not evaluated",CONCATENATE(IF(CF76="Yes","DCA / ",""),IF(CF77="Yes",CH77,"")))))-2),IF(CF76="","",IF(CONCATENATE(IF(CF76="Yes","DCA / ",""),IF(CF77="Yes",CH77,""))="","Not evaluated",CONCATENATE(IF(CF76="Yes","DCA / ",""),IF(CF77="Yes",CH77,"")))))</f>
        <v/>
      </c>
      <c r="CG75" s="278"/>
      <c r="CH75" s="278"/>
      <c r="CI75" s="278" t="str">
        <f t="shared" ref="CI75" si="26">IF(RIGHT(IF(CI76="","",IF(CONCATENATE(IF(CI76="Yes","DCA / ",""),IF(CI77="Yes",CK77,""))="","Not evaluated",CONCATENATE(IF(CI76="Yes","DCA / ",""),IF(CI77="Yes",CK77,"")))),2)="/ ",LEFT(IF(CI76="","",IF(CONCATENATE(IF(CI76="Yes","DCA / ",""),IF(CI77="Yes",CK77,""))="","Not evaluated",CONCATENATE(IF(CI76="Yes","DCA / ",""),IF(CI77="Yes",CK77,"")))),LEN(IF(CI76="","",IF(CONCATENATE(IF(CI76="Yes","DCA / ",""),IF(CI77="Yes",CK77,""))="","Not evaluated",CONCATENATE(IF(CI76="Yes","DCA / ",""),IF(CI77="Yes",CK77,"")))))-2),IF(CI76="","",IF(CONCATENATE(IF(CI76="Yes","DCA / ",""),IF(CI77="Yes",CK77,""))="","Not evaluated",CONCATENATE(IF(CI76="Yes","DCA / ",""),IF(CI77="Yes",CK77,"")))))</f>
        <v/>
      </c>
      <c r="CJ75" s="278"/>
      <c r="CK75" s="278"/>
      <c r="CL75" s="278" t="str">
        <f t="shared" ref="CL75" si="27">IF(RIGHT(IF(CL76="","",IF(CONCATENATE(IF(CL76="Yes","DCA / ",""),IF(CL77="Yes",CN77,""))="","Not evaluated",CONCATENATE(IF(CL76="Yes","DCA / ",""),IF(CL77="Yes",CN77,"")))),2)="/ ",LEFT(IF(CL76="","",IF(CONCATENATE(IF(CL76="Yes","DCA / ",""),IF(CL77="Yes",CN77,""))="","Not evaluated",CONCATENATE(IF(CL76="Yes","DCA / ",""),IF(CL77="Yes",CN77,"")))),LEN(IF(CL76="","",IF(CONCATENATE(IF(CL76="Yes","DCA / ",""),IF(CL77="Yes",CN77,""))="","Not evaluated",CONCATENATE(IF(CL76="Yes","DCA / ",""),IF(CL77="Yes",CN77,"")))))-2),IF(CL76="","",IF(CONCATENATE(IF(CL76="Yes","DCA / ",""),IF(CL77="Yes",CN77,""))="","Not evaluated",CONCATENATE(IF(CL76="Yes","DCA / ",""),IF(CL77="Yes",CN77,"")))))</f>
        <v/>
      </c>
      <c r="CM75" s="278"/>
      <c r="CN75" s="279"/>
      <c r="CO75" s="277" t="str">
        <f t="shared" ref="CO75" si="28">IF(RIGHT(IF(CO76="","",IF(CONCATENATE(IF(CO76="Yes","DCA / ",""),IF(CO77="Yes",CQ77,""))="","Not evaluated",CONCATENATE(IF(CO76="Yes","DCA / ",""),IF(CO77="Yes",CQ77,"")))),2)="/ ",LEFT(IF(CO76="","",IF(CONCATENATE(IF(CO76="Yes","DCA / ",""),IF(CO77="Yes",CQ77,""))="","Not evaluated",CONCATENATE(IF(CO76="Yes","DCA / ",""),IF(CO77="Yes",CQ77,"")))),LEN(IF(CO76="","",IF(CONCATENATE(IF(CO76="Yes","DCA / ",""),IF(CO77="Yes",CQ77,""))="","Not evaluated",CONCATENATE(IF(CO76="Yes","DCA / ",""),IF(CO77="Yes",CQ77,"")))))-2),IF(CO76="","",IF(CONCATENATE(IF(CO76="Yes","DCA / ",""),IF(CO77="Yes",CQ77,""))="","Not evaluated",CONCATENATE(IF(CO76="Yes","DCA / ",""),IF(CO77="Yes",CQ77,"")))))</f>
        <v/>
      </c>
      <c r="CP75" s="278"/>
      <c r="CQ75" s="278"/>
    </row>
    <row r="76" spans="1:95" s="13" customFormat="1" ht="15" customHeight="1" x14ac:dyDescent="0.25">
      <c r="A76" s="62"/>
      <c r="B76" s="62" t="s">
        <v>67</v>
      </c>
      <c r="C76" s="62"/>
      <c r="D76" s="274" t="s">
        <v>252</v>
      </c>
      <c r="E76" s="275"/>
      <c r="F76" s="273" t="s">
        <v>173</v>
      </c>
      <c r="G76" s="273"/>
      <c r="H76" s="273"/>
      <c r="I76" s="273" t="s">
        <v>173</v>
      </c>
      <c r="J76" s="273"/>
      <c r="K76" s="273"/>
      <c r="L76" s="273" t="s">
        <v>173</v>
      </c>
      <c r="M76" s="273"/>
      <c r="N76" s="273"/>
      <c r="O76" s="273" t="s">
        <v>173</v>
      </c>
      <c r="P76" s="273"/>
      <c r="Q76" s="273"/>
      <c r="R76" s="273" t="s">
        <v>173</v>
      </c>
      <c r="S76" s="273"/>
      <c r="T76" s="273"/>
      <c r="U76" s="273" t="s">
        <v>173</v>
      </c>
      <c r="V76" s="273"/>
      <c r="W76" s="273"/>
      <c r="X76" s="273" t="s">
        <v>173</v>
      </c>
      <c r="Y76" s="273"/>
      <c r="Z76" s="273"/>
      <c r="AA76" s="273" t="s">
        <v>173</v>
      </c>
      <c r="AB76" s="273"/>
      <c r="AC76" s="273"/>
      <c r="AD76" s="273" t="s">
        <v>173</v>
      </c>
      <c r="AE76" s="273"/>
      <c r="AF76" s="273"/>
      <c r="AG76" s="273" t="s">
        <v>173</v>
      </c>
      <c r="AH76" s="273"/>
      <c r="AI76" s="273"/>
      <c r="AJ76" s="273" t="s">
        <v>173</v>
      </c>
      <c r="AK76" s="273"/>
      <c r="AL76" s="273"/>
      <c r="AM76" s="273"/>
      <c r="AN76" s="273"/>
      <c r="AO76" s="273"/>
      <c r="AP76" s="273"/>
      <c r="AQ76" s="273"/>
      <c r="AR76" s="273"/>
      <c r="AS76" s="273"/>
      <c r="AT76" s="273"/>
      <c r="AU76" s="273"/>
      <c r="AV76" s="273"/>
      <c r="AW76" s="273"/>
      <c r="AX76" s="273"/>
      <c r="AY76" s="273"/>
      <c r="AZ76" s="273"/>
      <c r="BA76" s="273"/>
      <c r="BB76" s="273"/>
      <c r="BC76" s="273"/>
      <c r="BD76" s="273"/>
      <c r="BE76" s="273"/>
      <c r="BF76" s="273"/>
      <c r="BG76" s="273"/>
      <c r="BH76" s="273"/>
      <c r="BI76" s="273"/>
      <c r="BJ76" s="273"/>
      <c r="BK76" s="273"/>
      <c r="BL76" s="273"/>
      <c r="BM76" s="273"/>
      <c r="BN76" s="273"/>
      <c r="BO76" s="273"/>
      <c r="BP76" s="273"/>
      <c r="BQ76" s="273"/>
      <c r="BR76" s="273"/>
      <c r="BS76" s="273"/>
      <c r="BT76" s="273"/>
      <c r="BU76" s="273"/>
      <c r="BV76" s="273"/>
      <c r="BW76" s="273"/>
      <c r="BX76" s="273"/>
      <c r="BY76" s="273"/>
      <c r="BZ76" s="273"/>
      <c r="CA76" s="273"/>
      <c r="CB76" s="273"/>
      <c r="CC76" s="273"/>
      <c r="CD76" s="273"/>
      <c r="CE76" s="273"/>
      <c r="CF76" s="273"/>
      <c r="CG76" s="273"/>
      <c r="CH76" s="273"/>
      <c r="CI76" s="273"/>
      <c r="CJ76" s="273"/>
      <c r="CK76" s="273"/>
      <c r="CL76" s="273"/>
      <c r="CM76" s="273"/>
      <c r="CN76" s="276"/>
      <c r="CO76" s="336"/>
      <c r="CP76" s="273"/>
      <c r="CQ76" s="273"/>
    </row>
    <row r="77" spans="1:95" s="13" customFormat="1" ht="15" customHeight="1" x14ac:dyDescent="0.25">
      <c r="A77" s="62"/>
      <c r="B77" s="62" t="s">
        <v>67</v>
      </c>
      <c r="C77" s="62"/>
      <c r="D77" s="296" t="s">
        <v>253</v>
      </c>
      <c r="E77" s="297"/>
      <c r="F77" s="38" t="s">
        <v>173</v>
      </c>
      <c r="G77" s="52" t="s">
        <v>226</v>
      </c>
      <c r="H77" s="192"/>
      <c r="I77" s="191" t="s">
        <v>173</v>
      </c>
      <c r="J77" s="52" t="s">
        <v>226</v>
      </c>
      <c r="K77" s="192"/>
      <c r="L77" s="191" t="s">
        <v>173</v>
      </c>
      <c r="M77" s="52" t="s">
        <v>226</v>
      </c>
      <c r="N77" s="192"/>
      <c r="O77" s="191" t="s">
        <v>173</v>
      </c>
      <c r="P77" s="52" t="s">
        <v>226</v>
      </c>
      <c r="Q77" s="192"/>
      <c r="R77" s="191" t="s">
        <v>173</v>
      </c>
      <c r="S77" s="52" t="s">
        <v>226</v>
      </c>
      <c r="T77" s="192"/>
      <c r="U77" s="191" t="s">
        <v>173</v>
      </c>
      <c r="V77" s="52" t="s">
        <v>226</v>
      </c>
      <c r="W77" s="192"/>
      <c r="X77" s="191" t="s">
        <v>173</v>
      </c>
      <c r="Y77" s="52" t="s">
        <v>226</v>
      </c>
      <c r="Z77" s="192"/>
      <c r="AA77" s="191" t="s">
        <v>173</v>
      </c>
      <c r="AB77" s="52" t="s">
        <v>226</v>
      </c>
      <c r="AC77" s="192"/>
      <c r="AD77" s="191" t="s">
        <v>173</v>
      </c>
      <c r="AE77" s="52" t="s">
        <v>226</v>
      </c>
      <c r="AF77" s="192"/>
      <c r="AG77" s="191" t="s">
        <v>173</v>
      </c>
      <c r="AH77" s="52" t="s">
        <v>226</v>
      </c>
      <c r="AI77" s="192"/>
      <c r="AJ77" s="191" t="s">
        <v>173</v>
      </c>
      <c r="AK77" s="52" t="s">
        <v>226</v>
      </c>
      <c r="AL77" s="192"/>
      <c r="AM77" s="191"/>
      <c r="AN77" s="52" t="s">
        <v>226</v>
      </c>
      <c r="AO77" s="192"/>
      <c r="AP77" s="191"/>
      <c r="AQ77" s="52" t="s">
        <v>226</v>
      </c>
      <c r="AR77" s="192"/>
      <c r="AS77" s="191"/>
      <c r="AT77" s="52" t="s">
        <v>226</v>
      </c>
      <c r="AU77" s="192"/>
      <c r="AV77" s="191"/>
      <c r="AW77" s="52" t="s">
        <v>226</v>
      </c>
      <c r="AX77" s="192"/>
      <c r="AY77" s="191"/>
      <c r="AZ77" s="52" t="s">
        <v>226</v>
      </c>
      <c r="BA77" s="192"/>
      <c r="BB77" s="191"/>
      <c r="BC77" s="52" t="s">
        <v>226</v>
      </c>
      <c r="BD77" s="192"/>
      <c r="BE77" s="191"/>
      <c r="BF77" s="52" t="s">
        <v>226</v>
      </c>
      <c r="BG77" s="192"/>
      <c r="BH77" s="191"/>
      <c r="BI77" s="52" t="s">
        <v>226</v>
      </c>
      <c r="BJ77" s="192"/>
      <c r="BK77" s="191"/>
      <c r="BL77" s="52" t="s">
        <v>226</v>
      </c>
      <c r="BM77" s="192"/>
      <c r="BN77" s="191"/>
      <c r="BO77" s="52" t="s">
        <v>226</v>
      </c>
      <c r="BP77" s="192"/>
      <c r="BQ77" s="191"/>
      <c r="BR77" s="52" t="s">
        <v>226</v>
      </c>
      <c r="BS77" s="192"/>
      <c r="BT77" s="191"/>
      <c r="BU77" s="52" t="s">
        <v>226</v>
      </c>
      <c r="BV77" s="192"/>
      <c r="BW77" s="191"/>
      <c r="BX77" s="52" t="s">
        <v>226</v>
      </c>
      <c r="BY77" s="192"/>
      <c r="BZ77" s="191"/>
      <c r="CA77" s="52" t="s">
        <v>226</v>
      </c>
      <c r="CB77" s="192"/>
      <c r="CC77" s="191"/>
      <c r="CD77" s="52" t="s">
        <v>226</v>
      </c>
      <c r="CE77" s="192"/>
      <c r="CF77" s="191"/>
      <c r="CG77" s="52" t="s">
        <v>226</v>
      </c>
      <c r="CH77" s="192"/>
      <c r="CI77" s="191"/>
      <c r="CJ77" s="52" t="s">
        <v>226</v>
      </c>
      <c r="CK77" s="192"/>
      <c r="CL77" s="191"/>
      <c r="CM77" s="52" t="s">
        <v>226</v>
      </c>
      <c r="CN77" s="192"/>
      <c r="CO77" s="190"/>
      <c r="CP77" s="52" t="s">
        <v>226</v>
      </c>
      <c r="CQ77" s="192"/>
    </row>
    <row r="78" spans="1:95" s="1" customFormat="1" ht="18.75" customHeight="1" x14ac:dyDescent="0.25">
      <c r="A78" s="287" t="s">
        <v>254</v>
      </c>
      <c r="B78" s="287"/>
      <c r="C78" s="287"/>
      <c r="D78" s="287"/>
      <c r="E78" s="287"/>
      <c r="F78" s="48">
        <f>IF(SUMMARY!$B$7=TRUE,IF(COUNTBLANK(F80:F82)&gt;0,0,1),"")</f>
        <v>1</v>
      </c>
      <c r="G78" s="49"/>
      <c r="H78" s="49"/>
      <c r="I78" s="50">
        <f>IF(SUMMARY!$B$8=TRUE,IF(COUNTBLANK(I80:I82)&gt;0,0,1),"")</f>
        <v>1</v>
      </c>
      <c r="J78" s="49"/>
      <c r="K78" s="49"/>
      <c r="L78" s="50">
        <f>IF(SUMMARY!$B$9=TRUE,IF(COUNTBLANK(L80:L82)&gt;0,0,1),"")</f>
        <v>1</v>
      </c>
      <c r="M78" s="49"/>
      <c r="N78" s="49"/>
      <c r="O78" s="50">
        <f>IF(SUMMARY!$B$10=TRUE,IF(COUNTBLANK(O80:O82)&gt;0,0,1),"")</f>
        <v>1</v>
      </c>
      <c r="P78" s="49"/>
      <c r="Q78" s="49"/>
      <c r="R78" s="50">
        <f>IF(SUMMARY!$B$11=TRUE,IF(COUNTBLANK(R80:R82)&gt;0,0,1),"")</f>
        <v>1</v>
      </c>
      <c r="S78" s="49"/>
      <c r="T78" s="49"/>
      <c r="U78" s="50">
        <f>IF(SUMMARY!$B$12=TRUE,IF(COUNTBLANK(U80:U82)&gt;0,0,1),"")</f>
        <v>1</v>
      </c>
      <c r="V78" s="49"/>
      <c r="W78" s="49"/>
      <c r="X78" s="50">
        <f>IF(SUMMARY!$B$13=TRUE,IF(COUNTBLANK(X80:X82)&gt;0,0,1),"")</f>
        <v>1</v>
      </c>
      <c r="Y78" s="49"/>
      <c r="Z78" s="49"/>
      <c r="AA78" s="50">
        <f>IF(SUMMARY!$B$14=TRUE,IF(COUNTBLANK(AA80:AA82)&gt;0,0,1),"")</f>
        <v>1</v>
      </c>
      <c r="AB78" s="49"/>
      <c r="AC78" s="49"/>
      <c r="AD78" s="50">
        <f>IF(SUMMARY!$B$15=TRUE,IF(COUNTBLANK(AD80:AD82)&gt;0,0,1),"")</f>
        <v>1</v>
      </c>
      <c r="AE78" s="49"/>
      <c r="AF78" s="49"/>
      <c r="AG78" s="50">
        <f>IF(SUMMARY!$B$16=TRUE,IF(COUNTBLANK(AG80:AG82)&gt;0,0,1),"")</f>
        <v>1</v>
      </c>
      <c r="AH78" s="49"/>
      <c r="AI78" s="49"/>
      <c r="AJ78" s="50">
        <f>IF(SUMMARY!$B$17=TRUE,IF(COUNTBLANK(AJ80:AJ82)&gt;0,0,1),"")</f>
        <v>1</v>
      </c>
      <c r="AK78" s="49"/>
      <c r="AL78" s="49"/>
      <c r="AM78" s="50" t="str">
        <f>IF(SUMMARY!$B$18=TRUE,IF(COUNTBLANK(AM80:AM82)&gt;0,0,1),"")</f>
        <v/>
      </c>
      <c r="AN78" s="49"/>
      <c r="AO78" s="49"/>
      <c r="AP78" s="50" t="str">
        <f>IF(SUMMARY!$B$19=TRUE,IF(COUNTBLANK(AP80:AP82)&gt;0,0,1),"")</f>
        <v/>
      </c>
      <c r="AQ78" s="49"/>
      <c r="AR78" s="49"/>
      <c r="AS78" s="50" t="str">
        <f>IF(SUMMARY!$B$20=TRUE,IF(COUNTBLANK(AS80:AS82)&gt;0,0,1),"")</f>
        <v/>
      </c>
      <c r="AT78" s="49"/>
      <c r="AU78" s="49"/>
      <c r="AV78" s="50" t="str">
        <f>IF(SUMMARY!$B$21=TRUE,IF(COUNTBLANK(AV80:AV82)&gt;0,0,1),"")</f>
        <v/>
      </c>
      <c r="AW78" s="49"/>
      <c r="AX78" s="49"/>
      <c r="AY78" s="50" t="str">
        <f>IF(SUMMARY!$B$22=TRUE,IF(COUNTBLANK(AY80:AY82)&gt;0,0,1),"")</f>
        <v/>
      </c>
      <c r="AZ78" s="49"/>
      <c r="BA78" s="49"/>
      <c r="BB78" s="50" t="str">
        <f>IF(SUMMARY!$B$23=TRUE,IF(COUNTBLANK(BB80:BB82)&gt;0,0,1),"")</f>
        <v/>
      </c>
      <c r="BC78" s="49"/>
      <c r="BD78" s="49"/>
      <c r="BE78" s="50" t="str">
        <f>IF(SUMMARY!$B$24=TRUE,IF(COUNTBLANK(BE80:BE82)&gt;0,0,1),"")</f>
        <v/>
      </c>
      <c r="BF78" s="49"/>
      <c r="BG78" s="49"/>
      <c r="BH78" s="50" t="str">
        <f>IF(SUMMARY!$B$25=TRUE,IF(COUNTBLANK(BH80:BH82)&gt;0,0,1),"")</f>
        <v/>
      </c>
      <c r="BI78" s="49"/>
      <c r="BJ78" s="49"/>
      <c r="BK78" s="50" t="str">
        <f>IF(SUMMARY!$B$26=TRUE,IF(COUNTBLANK(BK80:BK82)&gt;0,0,1),"")</f>
        <v/>
      </c>
      <c r="BL78" s="49"/>
      <c r="BM78" s="49"/>
      <c r="BN78" s="50" t="str">
        <f>IF(SUMMARY!$B$27=TRUE,IF(COUNTBLANK(BN80:BN82)&gt;0,0,1),"")</f>
        <v/>
      </c>
      <c r="BO78" s="49"/>
      <c r="BP78" s="49"/>
      <c r="BQ78" s="50" t="str">
        <f>IF(SUMMARY!$B$28=TRUE,IF(COUNTBLANK(BQ80:BQ82)&gt;0,0,1),"")</f>
        <v/>
      </c>
      <c r="BR78" s="49"/>
      <c r="BS78" s="49"/>
      <c r="BT78" s="50" t="str">
        <f>IF(SUMMARY!$B$29=TRUE,IF(COUNTBLANK(BT80:BT82)&gt;0,0,1),"")</f>
        <v/>
      </c>
      <c r="BU78" s="49"/>
      <c r="BV78" s="49"/>
      <c r="BW78" s="50" t="str">
        <f>IF(SUMMARY!$B$30=TRUE,IF(COUNTBLANK(BW80:BW82)&gt;0,0,1),"")</f>
        <v/>
      </c>
      <c r="BX78" s="49"/>
      <c r="BY78" s="49"/>
      <c r="BZ78" s="50" t="str">
        <f>IF(SUMMARY!$B$31=TRUE,IF(COUNTBLANK(BZ80:BZ82)&gt;0,0,1),"")</f>
        <v/>
      </c>
      <c r="CA78" s="49"/>
      <c r="CB78" s="49"/>
      <c r="CC78" s="50" t="str">
        <f>IF(SUMMARY!$B$32=TRUE,IF(COUNTBLANK(CC80:CC82)&gt;0,0,1),"")</f>
        <v/>
      </c>
      <c r="CD78" s="49"/>
      <c r="CE78" s="49"/>
      <c r="CF78" s="50" t="str">
        <f>IF(SUMMARY!$B$33=TRUE,IF(COUNTBLANK(CF80:CF82)&gt;0,0,1),"")</f>
        <v/>
      </c>
      <c r="CG78" s="49"/>
      <c r="CH78" s="49"/>
      <c r="CI78" s="50" t="str">
        <f>IF(SUMMARY!$B$34=TRUE,IF(COUNTBLANK(CI80:CI82)&gt;0,0,1),"")</f>
        <v/>
      </c>
      <c r="CJ78" s="49"/>
      <c r="CK78" s="49"/>
      <c r="CL78" s="50" t="str">
        <f>IF(SUMMARY!$B$35=TRUE,IF(COUNTBLANK(CL80:CL82)&gt;0,0,1),"")</f>
        <v/>
      </c>
      <c r="CM78" s="49"/>
      <c r="CN78" s="49"/>
      <c r="CO78" s="51" t="str">
        <f>IF(SUMMARY!$B$36=TRUE,IF(COUNTBLANK(CO80:CO82)&gt;0,0,1),"")</f>
        <v/>
      </c>
      <c r="CP78" s="49"/>
      <c r="CQ78" s="49"/>
    </row>
    <row r="79" spans="1:95" s="13" customFormat="1" ht="15" customHeight="1" x14ac:dyDescent="0.25">
      <c r="A79" s="69"/>
      <c r="B79" s="69"/>
      <c r="C79" s="69" t="s">
        <v>67</v>
      </c>
      <c r="D79" s="292" t="s">
        <v>255</v>
      </c>
      <c r="E79" s="293"/>
      <c r="F79" s="332"/>
      <c r="G79" s="333"/>
      <c r="H79" s="333"/>
      <c r="I79" s="332"/>
      <c r="J79" s="333"/>
      <c r="K79" s="333"/>
      <c r="L79" s="332"/>
      <c r="M79" s="333"/>
      <c r="N79" s="333"/>
      <c r="O79" s="332"/>
      <c r="P79" s="333"/>
      <c r="Q79" s="333"/>
      <c r="R79" s="332"/>
      <c r="S79" s="333"/>
      <c r="T79" s="333"/>
      <c r="U79" s="332"/>
      <c r="V79" s="333"/>
      <c r="W79" s="333"/>
      <c r="X79" s="332"/>
      <c r="Y79" s="333"/>
      <c r="Z79" s="333"/>
      <c r="AA79" s="332"/>
      <c r="AB79" s="333"/>
      <c r="AC79" s="333"/>
      <c r="AD79" s="332"/>
      <c r="AE79" s="333"/>
      <c r="AF79" s="333"/>
      <c r="AG79" s="332"/>
      <c r="AH79" s="333"/>
      <c r="AI79" s="333"/>
      <c r="AJ79" s="332"/>
      <c r="AK79" s="333"/>
      <c r="AL79" s="333"/>
      <c r="AM79" s="332"/>
      <c r="AN79" s="333"/>
      <c r="AO79" s="333"/>
      <c r="AP79" s="332"/>
      <c r="AQ79" s="333"/>
      <c r="AR79" s="333"/>
      <c r="AS79" s="332"/>
      <c r="AT79" s="333"/>
      <c r="AU79" s="333"/>
      <c r="AV79" s="332"/>
      <c r="AW79" s="333"/>
      <c r="AX79" s="333"/>
      <c r="AY79" s="332"/>
      <c r="AZ79" s="333"/>
      <c r="BA79" s="333"/>
      <c r="BB79" s="332"/>
      <c r="BC79" s="333"/>
      <c r="BD79" s="333"/>
      <c r="BE79" s="332"/>
      <c r="BF79" s="333"/>
      <c r="BG79" s="333"/>
      <c r="BH79" s="332"/>
      <c r="BI79" s="333"/>
      <c r="BJ79" s="333"/>
      <c r="BK79" s="332"/>
      <c r="BL79" s="333"/>
      <c r="BM79" s="333"/>
      <c r="BN79" s="332"/>
      <c r="BO79" s="333"/>
      <c r="BP79" s="333"/>
      <c r="BQ79" s="332"/>
      <c r="BR79" s="333"/>
      <c r="BS79" s="333"/>
      <c r="BT79" s="332"/>
      <c r="BU79" s="333"/>
      <c r="BV79" s="333"/>
      <c r="BW79" s="332"/>
      <c r="BX79" s="333"/>
      <c r="BY79" s="333"/>
      <c r="BZ79" s="332"/>
      <c r="CA79" s="333"/>
      <c r="CB79" s="333"/>
      <c r="CC79" s="332"/>
      <c r="CD79" s="333"/>
      <c r="CE79" s="333"/>
      <c r="CF79" s="332"/>
      <c r="CG79" s="333"/>
      <c r="CH79" s="333"/>
      <c r="CI79" s="332"/>
      <c r="CJ79" s="333"/>
      <c r="CK79" s="333"/>
      <c r="CL79" s="332"/>
      <c r="CM79" s="333"/>
      <c r="CN79" s="333"/>
      <c r="CO79" s="332"/>
      <c r="CP79" s="333"/>
      <c r="CQ79" s="333"/>
    </row>
    <row r="80" spans="1:95" s="13" customFormat="1" ht="15" customHeight="1" x14ac:dyDescent="0.25">
      <c r="A80" s="69"/>
      <c r="B80" s="69"/>
      <c r="C80" s="69" t="s">
        <v>67</v>
      </c>
      <c r="D80" s="274" t="s">
        <v>256</v>
      </c>
      <c r="E80" s="298"/>
      <c r="F80" s="330" t="s">
        <v>257</v>
      </c>
      <c r="G80" s="331"/>
      <c r="H80" s="331"/>
      <c r="I80" s="330" t="s">
        <v>258</v>
      </c>
      <c r="J80" s="331"/>
      <c r="K80" s="331"/>
      <c r="L80" s="330" t="s">
        <v>258</v>
      </c>
      <c r="M80" s="331"/>
      <c r="N80" s="331"/>
      <c r="O80" s="330" t="s">
        <v>258</v>
      </c>
      <c r="P80" s="331"/>
      <c r="Q80" s="331"/>
      <c r="R80" s="330" t="s">
        <v>259</v>
      </c>
      <c r="S80" s="331"/>
      <c r="T80" s="331"/>
      <c r="U80" s="330" t="s">
        <v>259</v>
      </c>
      <c r="V80" s="331"/>
      <c r="W80" s="331"/>
      <c r="X80" s="330" t="s">
        <v>259</v>
      </c>
      <c r="Y80" s="331"/>
      <c r="Z80" s="331"/>
      <c r="AA80" s="330" t="s">
        <v>259</v>
      </c>
      <c r="AB80" s="331"/>
      <c r="AC80" s="331"/>
      <c r="AD80" s="330" t="s">
        <v>257</v>
      </c>
      <c r="AE80" s="331"/>
      <c r="AF80" s="331"/>
      <c r="AG80" s="330" t="s">
        <v>259</v>
      </c>
      <c r="AH80" s="331"/>
      <c r="AI80" s="331"/>
      <c r="AJ80" s="330" t="s">
        <v>259</v>
      </c>
      <c r="AK80" s="331"/>
      <c r="AL80" s="331"/>
      <c r="AM80" s="330"/>
      <c r="AN80" s="331"/>
      <c r="AO80" s="331"/>
      <c r="AP80" s="330"/>
      <c r="AQ80" s="331"/>
      <c r="AR80" s="331"/>
      <c r="AS80" s="330"/>
      <c r="AT80" s="331"/>
      <c r="AU80" s="331"/>
      <c r="AV80" s="330"/>
      <c r="AW80" s="331"/>
      <c r="AX80" s="331"/>
      <c r="AY80" s="330"/>
      <c r="AZ80" s="331"/>
      <c r="BA80" s="331"/>
      <c r="BB80" s="330"/>
      <c r="BC80" s="331"/>
      <c r="BD80" s="331"/>
      <c r="BE80" s="330"/>
      <c r="BF80" s="331"/>
      <c r="BG80" s="331"/>
      <c r="BH80" s="330"/>
      <c r="BI80" s="331"/>
      <c r="BJ80" s="331"/>
      <c r="BK80" s="330"/>
      <c r="BL80" s="331"/>
      <c r="BM80" s="331"/>
      <c r="BN80" s="330"/>
      <c r="BO80" s="331"/>
      <c r="BP80" s="331"/>
      <c r="BQ80" s="330"/>
      <c r="BR80" s="331"/>
      <c r="BS80" s="331"/>
      <c r="BT80" s="330"/>
      <c r="BU80" s="331"/>
      <c r="BV80" s="331"/>
      <c r="BW80" s="330"/>
      <c r="BX80" s="331"/>
      <c r="BY80" s="331"/>
      <c r="BZ80" s="330"/>
      <c r="CA80" s="331"/>
      <c r="CB80" s="331"/>
      <c r="CC80" s="330"/>
      <c r="CD80" s="331"/>
      <c r="CE80" s="331"/>
      <c r="CF80" s="330"/>
      <c r="CG80" s="331"/>
      <c r="CH80" s="331"/>
      <c r="CI80" s="330"/>
      <c r="CJ80" s="331"/>
      <c r="CK80" s="331"/>
      <c r="CL80" s="330"/>
      <c r="CM80" s="331"/>
      <c r="CN80" s="331"/>
      <c r="CO80" s="330"/>
      <c r="CP80" s="331"/>
      <c r="CQ80" s="331"/>
    </row>
    <row r="81" spans="1:95" s="13" customFormat="1" ht="15" customHeight="1" x14ac:dyDescent="0.25">
      <c r="A81" s="69"/>
      <c r="B81" s="69"/>
      <c r="C81" s="69" t="s">
        <v>67</v>
      </c>
      <c r="D81" s="274" t="s">
        <v>260</v>
      </c>
      <c r="E81" s="298"/>
      <c r="F81" s="330" t="s">
        <v>261</v>
      </c>
      <c r="G81" s="331"/>
      <c r="H81" s="331"/>
      <c r="I81" s="330" t="s">
        <v>261</v>
      </c>
      <c r="J81" s="331"/>
      <c r="K81" s="331"/>
      <c r="L81" s="330" t="s">
        <v>261</v>
      </c>
      <c r="M81" s="331"/>
      <c r="N81" s="331"/>
      <c r="O81" s="330" t="s">
        <v>261</v>
      </c>
      <c r="P81" s="331"/>
      <c r="Q81" s="331"/>
      <c r="R81" s="330" t="s">
        <v>262</v>
      </c>
      <c r="S81" s="331"/>
      <c r="T81" s="331"/>
      <c r="U81" s="330" t="s">
        <v>261</v>
      </c>
      <c r="V81" s="331"/>
      <c r="W81" s="331"/>
      <c r="X81" s="330" t="s">
        <v>261</v>
      </c>
      <c r="Y81" s="331"/>
      <c r="Z81" s="331"/>
      <c r="AA81" s="330" t="s">
        <v>261</v>
      </c>
      <c r="AB81" s="331"/>
      <c r="AC81" s="331"/>
      <c r="AD81" s="330" t="s">
        <v>262</v>
      </c>
      <c r="AE81" s="331"/>
      <c r="AF81" s="331"/>
      <c r="AG81" s="330" t="s">
        <v>261</v>
      </c>
      <c r="AH81" s="331"/>
      <c r="AI81" s="331"/>
      <c r="AJ81" s="330" t="s">
        <v>261</v>
      </c>
      <c r="AK81" s="331"/>
      <c r="AL81" s="331"/>
      <c r="AM81" s="330"/>
      <c r="AN81" s="331"/>
      <c r="AO81" s="331"/>
      <c r="AP81" s="330"/>
      <c r="AQ81" s="331"/>
      <c r="AR81" s="331"/>
      <c r="AS81" s="330"/>
      <c r="AT81" s="331"/>
      <c r="AU81" s="331"/>
      <c r="AV81" s="330"/>
      <c r="AW81" s="331"/>
      <c r="AX81" s="331"/>
      <c r="AY81" s="330"/>
      <c r="AZ81" s="331"/>
      <c r="BA81" s="331"/>
      <c r="BB81" s="330"/>
      <c r="BC81" s="331"/>
      <c r="BD81" s="331"/>
      <c r="BE81" s="330"/>
      <c r="BF81" s="331"/>
      <c r="BG81" s="331"/>
      <c r="BH81" s="330"/>
      <c r="BI81" s="331"/>
      <c r="BJ81" s="331"/>
      <c r="BK81" s="330"/>
      <c r="BL81" s="331"/>
      <c r="BM81" s="331"/>
      <c r="BN81" s="330"/>
      <c r="BO81" s="331"/>
      <c r="BP81" s="331"/>
      <c r="BQ81" s="330"/>
      <c r="BR81" s="331"/>
      <c r="BS81" s="331"/>
      <c r="BT81" s="330"/>
      <c r="BU81" s="331"/>
      <c r="BV81" s="331"/>
      <c r="BW81" s="330"/>
      <c r="BX81" s="331"/>
      <c r="BY81" s="331"/>
      <c r="BZ81" s="330"/>
      <c r="CA81" s="331"/>
      <c r="CB81" s="331"/>
      <c r="CC81" s="330"/>
      <c r="CD81" s="331"/>
      <c r="CE81" s="331"/>
      <c r="CF81" s="330"/>
      <c r="CG81" s="331"/>
      <c r="CH81" s="331"/>
      <c r="CI81" s="330"/>
      <c r="CJ81" s="331"/>
      <c r="CK81" s="331"/>
      <c r="CL81" s="330"/>
      <c r="CM81" s="331"/>
      <c r="CN81" s="331"/>
      <c r="CO81" s="330"/>
      <c r="CP81" s="331"/>
      <c r="CQ81" s="331"/>
    </row>
    <row r="82" spans="1:95" s="13" customFormat="1" ht="15" customHeight="1" x14ac:dyDescent="0.25">
      <c r="A82" s="58"/>
      <c r="B82" s="58" t="s">
        <v>67</v>
      </c>
      <c r="C82" s="58" t="s">
        <v>67</v>
      </c>
      <c r="D82" s="288" t="s">
        <v>263</v>
      </c>
      <c r="E82" s="289"/>
      <c r="F82" s="326" t="s">
        <v>173</v>
      </c>
      <c r="G82" s="327"/>
      <c r="H82" s="327"/>
      <c r="I82" s="326" t="s">
        <v>173</v>
      </c>
      <c r="J82" s="327"/>
      <c r="K82" s="327"/>
      <c r="L82" s="326" t="s">
        <v>173</v>
      </c>
      <c r="M82" s="327"/>
      <c r="N82" s="327"/>
      <c r="O82" s="326" t="s">
        <v>173</v>
      </c>
      <c r="P82" s="327"/>
      <c r="Q82" s="327"/>
      <c r="R82" s="326" t="s">
        <v>173</v>
      </c>
      <c r="S82" s="327"/>
      <c r="T82" s="327"/>
      <c r="U82" s="326" t="s">
        <v>173</v>
      </c>
      <c r="V82" s="327"/>
      <c r="W82" s="327"/>
      <c r="X82" s="326" t="s">
        <v>173</v>
      </c>
      <c r="Y82" s="327"/>
      <c r="Z82" s="327"/>
      <c r="AA82" s="326" t="s">
        <v>173</v>
      </c>
      <c r="AB82" s="327"/>
      <c r="AC82" s="327"/>
      <c r="AD82" s="326" t="s">
        <v>173</v>
      </c>
      <c r="AE82" s="327"/>
      <c r="AF82" s="327"/>
      <c r="AG82" s="326" t="s">
        <v>173</v>
      </c>
      <c r="AH82" s="327"/>
      <c r="AI82" s="327"/>
      <c r="AJ82" s="326" t="s">
        <v>173</v>
      </c>
      <c r="AK82" s="327"/>
      <c r="AL82" s="327"/>
      <c r="AM82" s="326"/>
      <c r="AN82" s="327"/>
      <c r="AO82" s="327"/>
      <c r="AP82" s="326"/>
      <c r="AQ82" s="327"/>
      <c r="AR82" s="327"/>
      <c r="AS82" s="326"/>
      <c r="AT82" s="327"/>
      <c r="AU82" s="327"/>
      <c r="AV82" s="326"/>
      <c r="AW82" s="327"/>
      <c r="AX82" s="327"/>
      <c r="AY82" s="326"/>
      <c r="AZ82" s="327"/>
      <c r="BA82" s="327"/>
      <c r="BB82" s="326"/>
      <c r="BC82" s="327"/>
      <c r="BD82" s="327"/>
      <c r="BE82" s="326"/>
      <c r="BF82" s="327"/>
      <c r="BG82" s="327"/>
      <c r="BH82" s="326"/>
      <c r="BI82" s="327"/>
      <c r="BJ82" s="327"/>
      <c r="BK82" s="326"/>
      <c r="BL82" s="327"/>
      <c r="BM82" s="327"/>
      <c r="BN82" s="326"/>
      <c r="BO82" s="327"/>
      <c r="BP82" s="327"/>
      <c r="BQ82" s="326"/>
      <c r="BR82" s="327"/>
      <c r="BS82" s="327"/>
      <c r="BT82" s="326"/>
      <c r="BU82" s="327"/>
      <c r="BV82" s="327"/>
      <c r="BW82" s="326"/>
      <c r="BX82" s="327"/>
      <c r="BY82" s="327"/>
      <c r="BZ82" s="326"/>
      <c r="CA82" s="327"/>
      <c r="CB82" s="327"/>
      <c r="CC82" s="326"/>
      <c r="CD82" s="327"/>
      <c r="CE82" s="327"/>
      <c r="CF82" s="326"/>
      <c r="CG82" s="327"/>
      <c r="CH82" s="327"/>
      <c r="CI82" s="326"/>
      <c r="CJ82" s="327"/>
      <c r="CK82" s="327"/>
      <c r="CL82" s="326"/>
      <c r="CM82" s="327"/>
      <c r="CN82" s="327"/>
      <c r="CO82" s="326"/>
      <c r="CP82" s="327"/>
      <c r="CQ82" s="327"/>
    </row>
    <row r="83" spans="1:95" s="1" customFormat="1" ht="21" customHeight="1" x14ac:dyDescent="0.25">
      <c r="A83" s="287" t="s">
        <v>264</v>
      </c>
      <c r="B83" s="287"/>
      <c r="C83" s="287"/>
      <c r="D83" s="287"/>
      <c r="E83" s="287"/>
      <c r="F83" s="48">
        <f>IF(SUMMARY!$B$7=TRUE,IF(COUNTBLANK(F84:F87)&gt;0,0,1),"")</f>
        <v>1</v>
      </c>
      <c r="G83" s="49"/>
      <c r="H83" s="49"/>
      <c r="I83" s="50">
        <f>IF(SUMMARY!$B$8=TRUE,IF(COUNTBLANK(I84:I87)&gt;0,0,1),"")</f>
        <v>1</v>
      </c>
      <c r="J83" s="49"/>
      <c r="K83" s="49"/>
      <c r="L83" s="50">
        <f>IF(SUMMARY!$B$9=TRUE,IF(COUNTBLANK(L84:L87)&gt;0,0,1),"")</f>
        <v>1</v>
      </c>
      <c r="M83" s="49"/>
      <c r="N83" s="49"/>
      <c r="O83" s="50">
        <f>IF(SUMMARY!$B$10=TRUE,IF(COUNTBLANK(O84:O87)&gt;0,0,1),"")</f>
        <v>1</v>
      </c>
      <c r="P83" s="49"/>
      <c r="Q83" s="49"/>
      <c r="R83" s="50">
        <f>IF(SUMMARY!$B$11=TRUE,IF(COUNTBLANK(R84:R87)&gt;0,0,1),"")</f>
        <v>1</v>
      </c>
      <c r="S83" s="49"/>
      <c r="T83" s="49"/>
      <c r="U83" s="50">
        <f>IF(SUMMARY!$B$12=TRUE,IF(COUNTBLANK(U84:U87)&gt;0,0,1),"")</f>
        <v>1</v>
      </c>
      <c r="V83" s="49"/>
      <c r="W83" s="49"/>
      <c r="X83" s="50">
        <f>IF(SUMMARY!$B$13=TRUE,IF(COUNTBLANK(X84:X87)&gt;0,0,1),"")</f>
        <v>1</v>
      </c>
      <c r="Y83" s="49"/>
      <c r="Z83" s="49"/>
      <c r="AA83" s="50">
        <f>IF(SUMMARY!$B$14=TRUE,IF(COUNTBLANK(AA84:AA87)&gt;0,0,1),"")</f>
        <v>1</v>
      </c>
      <c r="AB83" s="49"/>
      <c r="AC83" s="49"/>
      <c r="AD83" s="50">
        <f>IF(SUMMARY!$B$15=TRUE,IF(COUNTBLANK(AD84:AD87)&gt;0,0,1),"")</f>
        <v>1</v>
      </c>
      <c r="AE83" s="49"/>
      <c r="AF83" s="49"/>
      <c r="AG83" s="50">
        <f>IF(SUMMARY!$B$16=TRUE,IF(COUNTBLANK(AG84:AG87)&gt;0,0,1),"")</f>
        <v>1</v>
      </c>
      <c r="AH83" s="49"/>
      <c r="AI83" s="49"/>
      <c r="AJ83" s="50">
        <f>IF(SUMMARY!$B$17=TRUE,IF(COUNTBLANK(AJ84:AJ87)&gt;0,0,1),"")</f>
        <v>1</v>
      </c>
      <c r="AK83" s="49"/>
      <c r="AL83" s="49"/>
      <c r="AM83" s="50" t="str">
        <f>IF(SUMMARY!$B$18=TRUE,IF(COUNTBLANK(AM84:AM87)&gt;0,0,1),"")</f>
        <v/>
      </c>
      <c r="AN83" s="49"/>
      <c r="AO83" s="49"/>
      <c r="AP83" s="50" t="str">
        <f>IF(SUMMARY!$B$19=TRUE,IF(COUNTBLANK(AP84:AP87)&gt;0,0,1),"")</f>
        <v/>
      </c>
      <c r="AQ83" s="49"/>
      <c r="AR83" s="49"/>
      <c r="AS83" s="50" t="str">
        <f>IF(SUMMARY!$B$20=TRUE,IF(COUNTBLANK(AS84:AS87)&gt;0,0,1),"")</f>
        <v/>
      </c>
      <c r="AT83" s="49"/>
      <c r="AU83" s="49"/>
      <c r="AV83" s="50" t="str">
        <f>IF(SUMMARY!$B$21=TRUE,IF(COUNTBLANK(AV84:AV87)&gt;0,0,1),"")</f>
        <v/>
      </c>
      <c r="AW83" s="49"/>
      <c r="AX83" s="49"/>
      <c r="AY83" s="50" t="str">
        <f>IF(SUMMARY!$B$22=TRUE,IF(COUNTBLANK(AY84:AY87)&gt;0,0,1),"")</f>
        <v/>
      </c>
      <c r="AZ83" s="49"/>
      <c r="BA83" s="49"/>
      <c r="BB83" s="50" t="str">
        <f>IF(SUMMARY!$B$23=TRUE,IF(COUNTBLANK(BB84:BB87)&gt;0,0,1),"")</f>
        <v/>
      </c>
      <c r="BC83" s="49"/>
      <c r="BD83" s="49"/>
      <c r="BE83" s="50" t="str">
        <f>IF(SUMMARY!$B$24=TRUE,IF(COUNTBLANK(BE84:BE87)&gt;0,0,1),"")</f>
        <v/>
      </c>
      <c r="BF83" s="49"/>
      <c r="BG83" s="49"/>
      <c r="BH83" s="50" t="str">
        <f>IF(SUMMARY!$B$25=TRUE,IF(COUNTBLANK(BH84:BH87)&gt;0,0,1),"")</f>
        <v/>
      </c>
      <c r="BI83" s="49"/>
      <c r="BJ83" s="49"/>
      <c r="BK83" s="50" t="str">
        <f>IF(SUMMARY!$B$26=TRUE,IF(COUNTBLANK(BK84:BK87)&gt;0,0,1),"")</f>
        <v/>
      </c>
      <c r="BL83" s="49"/>
      <c r="BM83" s="49"/>
      <c r="BN83" s="50" t="str">
        <f>IF(SUMMARY!$B$27=TRUE,IF(COUNTBLANK(BN84:BN87)&gt;0,0,1),"")</f>
        <v/>
      </c>
      <c r="BO83" s="49"/>
      <c r="BP83" s="49"/>
      <c r="BQ83" s="50" t="str">
        <f>IF(SUMMARY!$B$28=TRUE,IF(COUNTBLANK(BQ84:BQ87)&gt;0,0,1),"")</f>
        <v/>
      </c>
      <c r="BR83" s="49"/>
      <c r="BS83" s="49"/>
      <c r="BT83" s="50" t="str">
        <f>IF(SUMMARY!$B$29=TRUE,IF(COUNTBLANK(BT84:BT87)&gt;0,0,1),"")</f>
        <v/>
      </c>
      <c r="BU83" s="49"/>
      <c r="BV83" s="49"/>
      <c r="BW83" s="50" t="str">
        <f>IF(SUMMARY!$B$30=TRUE,IF(COUNTBLANK(BW84:BW87)&gt;0,0,1),"")</f>
        <v/>
      </c>
      <c r="BX83" s="49"/>
      <c r="BY83" s="49"/>
      <c r="BZ83" s="50" t="str">
        <f>IF(SUMMARY!$B$31=TRUE,IF(COUNTBLANK(BZ84:BZ87)&gt;0,0,1),"")</f>
        <v/>
      </c>
      <c r="CA83" s="49"/>
      <c r="CB83" s="49"/>
      <c r="CC83" s="50" t="str">
        <f>IF(SUMMARY!$B$32=TRUE,IF(COUNTBLANK(CC84:CC87)&gt;0,0,1),"")</f>
        <v/>
      </c>
      <c r="CD83" s="49"/>
      <c r="CE83" s="49"/>
      <c r="CF83" s="50" t="str">
        <f>IF(SUMMARY!$B$33=TRUE,IF(COUNTBLANK(CF84:CF87)&gt;0,0,1),"")</f>
        <v/>
      </c>
      <c r="CG83" s="49"/>
      <c r="CH83" s="49"/>
      <c r="CI83" s="50" t="str">
        <f>IF(SUMMARY!$B$34=TRUE,IF(COUNTBLANK(CI84:CI87)&gt;0,0,1),"")</f>
        <v/>
      </c>
      <c r="CJ83" s="49"/>
      <c r="CK83" s="49"/>
      <c r="CL83" s="50" t="str">
        <f>IF(SUMMARY!$B$35=TRUE,IF(COUNTBLANK(CL84:CL87)&gt;0,0,1),"")</f>
        <v/>
      </c>
      <c r="CM83" s="49"/>
      <c r="CN83" s="49"/>
      <c r="CO83" s="51" t="str">
        <f>IF(SUMMARY!$B$36=TRUE,IF(COUNTBLANK(CO84:CO87)&gt;0,0,1),"")</f>
        <v/>
      </c>
      <c r="CP83" s="49"/>
      <c r="CQ83" s="49"/>
    </row>
    <row r="84" spans="1:95" s="13" customFormat="1" ht="15" customHeight="1" x14ac:dyDescent="0.25">
      <c r="A84" s="69" t="s">
        <v>67</v>
      </c>
      <c r="B84" s="69"/>
      <c r="C84" s="69"/>
      <c r="D84" s="292" t="s">
        <v>265</v>
      </c>
      <c r="E84" s="293"/>
      <c r="F84" s="328">
        <v>13</v>
      </c>
      <c r="G84" s="329"/>
      <c r="H84" s="329"/>
      <c r="I84" s="328">
        <v>6</v>
      </c>
      <c r="J84" s="329"/>
      <c r="K84" s="329"/>
      <c r="L84" s="328">
        <v>7</v>
      </c>
      <c r="M84" s="329"/>
      <c r="N84" s="329"/>
      <c r="O84" s="328">
        <v>2</v>
      </c>
      <c r="P84" s="329"/>
      <c r="Q84" s="329"/>
      <c r="R84" s="328">
        <v>5</v>
      </c>
      <c r="S84" s="329"/>
      <c r="T84" s="329"/>
      <c r="U84" s="328">
        <v>3</v>
      </c>
      <c r="V84" s="329"/>
      <c r="W84" s="329"/>
      <c r="X84" s="328">
        <v>15</v>
      </c>
      <c r="Y84" s="329"/>
      <c r="Z84" s="329"/>
      <c r="AA84" s="328">
        <v>5</v>
      </c>
      <c r="AB84" s="329"/>
      <c r="AC84" s="329"/>
      <c r="AD84" s="328">
        <v>8</v>
      </c>
      <c r="AE84" s="329"/>
      <c r="AF84" s="329"/>
      <c r="AG84" s="328">
        <v>10</v>
      </c>
      <c r="AH84" s="329"/>
      <c r="AI84" s="329"/>
      <c r="AJ84" s="328">
        <v>9</v>
      </c>
      <c r="AK84" s="329"/>
      <c r="AL84" s="329"/>
      <c r="AM84" s="328"/>
      <c r="AN84" s="329"/>
      <c r="AO84" s="329"/>
      <c r="AP84" s="328"/>
      <c r="AQ84" s="329"/>
      <c r="AR84" s="329"/>
      <c r="AS84" s="328"/>
      <c r="AT84" s="329"/>
      <c r="AU84" s="329"/>
      <c r="AV84" s="328"/>
      <c r="AW84" s="329"/>
      <c r="AX84" s="329"/>
      <c r="AY84" s="328"/>
      <c r="AZ84" s="329"/>
      <c r="BA84" s="329"/>
      <c r="BB84" s="328"/>
      <c r="BC84" s="329"/>
      <c r="BD84" s="329"/>
      <c r="BE84" s="328"/>
      <c r="BF84" s="329"/>
      <c r="BG84" s="329"/>
      <c r="BH84" s="328"/>
      <c r="BI84" s="329"/>
      <c r="BJ84" s="329"/>
      <c r="BK84" s="328"/>
      <c r="BL84" s="329"/>
      <c r="BM84" s="329"/>
      <c r="BN84" s="328"/>
      <c r="BO84" s="329"/>
      <c r="BP84" s="329"/>
      <c r="BQ84" s="328"/>
      <c r="BR84" s="329"/>
      <c r="BS84" s="329"/>
      <c r="BT84" s="328"/>
      <c r="BU84" s="329"/>
      <c r="BV84" s="329"/>
      <c r="BW84" s="328"/>
      <c r="BX84" s="329"/>
      <c r="BY84" s="329"/>
      <c r="BZ84" s="328"/>
      <c r="CA84" s="329"/>
      <c r="CB84" s="329"/>
      <c r="CC84" s="328"/>
      <c r="CD84" s="329"/>
      <c r="CE84" s="329"/>
      <c r="CF84" s="328"/>
      <c r="CG84" s="329"/>
      <c r="CH84" s="329"/>
      <c r="CI84" s="328"/>
      <c r="CJ84" s="329"/>
      <c r="CK84" s="329"/>
      <c r="CL84" s="328"/>
      <c r="CM84" s="329"/>
      <c r="CN84" s="329"/>
      <c r="CO84" s="328"/>
      <c r="CP84" s="329"/>
      <c r="CQ84" s="329"/>
    </row>
    <row r="85" spans="1:95" s="13" customFormat="1" ht="15" customHeight="1" x14ac:dyDescent="0.25">
      <c r="A85" s="62" t="s">
        <v>79</v>
      </c>
      <c r="B85" s="62" t="s">
        <v>67</v>
      </c>
      <c r="C85" s="62"/>
      <c r="D85" s="290" t="s">
        <v>266</v>
      </c>
      <c r="E85" s="291"/>
      <c r="F85" s="330" t="s">
        <v>267</v>
      </c>
      <c r="G85" s="331"/>
      <c r="H85" s="331"/>
      <c r="I85" s="330" t="s">
        <v>267</v>
      </c>
      <c r="J85" s="331"/>
      <c r="K85" s="331"/>
      <c r="L85" s="330" t="s">
        <v>267</v>
      </c>
      <c r="M85" s="331"/>
      <c r="N85" s="331"/>
      <c r="O85" s="330" t="s">
        <v>267</v>
      </c>
      <c r="P85" s="331"/>
      <c r="Q85" s="331"/>
      <c r="R85" s="330" t="s">
        <v>267</v>
      </c>
      <c r="S85" s="331"/>
      <c r="T85" s="331"/>
      <c r="U85" s="330" t="s">
        <v>267</v>
      </c>
      <c r="V85" s="331"/>
      <c r="W85" s="331"/>
      <c r="X85" s="330" t="s">
        <v>267</v>
      </c>
      <c r="Y85" s="331"/>
      <c r="Z85" s="331"/>
      <c r="AA85" s="330" t="s">
        <v>267</v>
      </c>
      <c r="AB85" s="331"/>
      <c r="AC85" s="331"/>
      <c r="AD85" s="330" t="s">
        <v>267</v>
      </c>
      <c r="AE85" s="331"/>
      <c r="AF85" s="331"/>
      <c r="AG85" s="330" t="s">
        <v>268</v>
      </c>
      <c r="AH85" s="331"/>
      <c r="AI85" s="331"/>
      <c r="AJ85" s="330" t="s">
        <v>268</v>
      </c>
      <c r="AK85" s="331"/>
      <c r="AL85" s="331"/>
      <c r="AM85" s="330"/>
      <c r="AN85" s="331"/>
      <c r="AO85" s="331"/>
      <c r="AP85" s="330"/>
      <c r="AQ85" s="331"/>
      <c r="AR85" s="331"/>
      <c r="AS85" s="330"/>
      <c r="AT85" s="331"/>
      <c r="AU85" s="331"/>
      <c r="AV85" s="330"/>
      <c r="AW85" s="331"/>
      <c r="AX85" s="331"/>
      <c r="AY85" s="330"/>
      <c r="AZ85" s="331"/>
      <c r="BA85" s="331"/>
      <c r="BB85" s="330"/>
      <c r="BC85" s="331"/>
      <c r="BD85" s="331"/>
      <c r="BE85" s="330"/>
      <c r="BF85" s="331"/>
      <c r="BG85" s="331"/>
      <c r="BH85" s="330"/>
      <c r="BI85" s="331"/>
      <c r="BJ85" s="331"/>
      <c r="BK85" s="330"/>
      <c r="BL85" s="331"/>
      <c r="BM85" s="331"/>
      <c r="BN85" s="330"/>
      <c r="BO85" s="331"/>
      <c r="BP85" s="331"/>
      <c r="BQ85" s="330"/>
      <c r="BR85" s="331"/>
      <c r="BS85" s="331"/>
      <c r="BT85" s="330"/>
      <c r="BU85" s="331"/>
      <c r="BV85" s="331"/>
      <c r="BW85" s="330"/>
      <c r="BX85" s="331"/>
      <c r="BY85" s="331"/>
      <c r="BZ85" s="330"/>
      <c r="CA85" s="331"/>
      <c r="CB85" s="331"/>
      <c r="CC85" s="330"/>
      <c r="CD85" s="331"/>
      <c r="CE85" s="331"/>
      <c r="CF85" s="330"/>
      <c r="CG85" s="331"/>
      <c r="CH85" s="331"/>
      <c r="CI85" s="330"/>
      <c r="CJ85" s="331"/>
      <c r="CK85" s="331"/>
      <c r="CL85" s="330"/>
      <c r="CM85" s="331"/>
      <c r="CN85" s="331"/>
      <c r="CO85" s="330"/>
      <c r="CP85" s="331"/>
      <c r="CQ85" s="331"/>
    </row>
    <row r="86" spans="1:95" s="13" customFormat="1" ht="15" customHeight="1" x14ac:dyDescent="0.25">
      <c r="A86" s="62" t="s">
        <v>67</v>
      </c>
      <c r="B86" s="62" t="s">
        <v>67</v>
      </c>
      <c r="C86" s="62"/>
      <c r="D86" s="290" t="s">
        <v>269</v>
      </c>
      <c r="E86" s="291"/>
      <c r="F86" s="330" t="s">
        <v>173</v>
      </c>
      <c r="G86" s="331"/>
      <c r="H86" s="331"/>
      <c r="I86" s="330" t="s">
        <v>173</v>
      </c>
      <c r="J86" s="331"/>
      <c r="K86" s="331"/>
      <c r="L86" s="330" t="s">
        <v>173</v>
      </c>
      <c r="M86" s="331"/>
      <c r="N86" s="331"/>
      <c r="O86" s="330" t="s">
        <v>173</v>
      </c>
      <c r="P86" s="331"/>
      <c r="Q86" s="331"/>
      <c r="R86" s="330" t="s">
        <v>168</v>
      </c>
      <c r="S86" s="331"/>
      <c r="T86" s="331"/>
      <c r="U86" s="330" t="s">
        <v>173</v>
      </c>
      <c r="V86" s="331"/>
      <c r="W86" s="331"/>
      <c r="X86" s="330" t="s">
        <v>168</v>
      </c>
      <c r="Y86" s="331"/>
      <c r="Z86" s="331"/>
      <c r="AA86" s="330" t="s">
        <v>173</v>
      </c>
      <c r="AB86" s="331"/>
      <c r="AC86" s="331"/>
      <c r="AD86" s="330" t="s">
        <v>168</v>
      </c>
      <c r="AE86" s="331"/>
      <c r="AF86" s="331"/>
      <c r="AG86" s="330" t="s">
        <v>173</v>
      </c>
      <c r="AH86" s="331"/>
      <c r="AI86" s="331"/>
      <c r="AJ86" s="330" t="s">
        <v>173</v>
      </c>
      <c r="AK86" s="331"/>
      <c r="AL86" s="331"/>
      <c r="AM86" s="330"/>
      <c r="AN86" s="331"/>
      <c r="AO86" s="331"/>
      <c r="AP86" s="330"/>
      <c r="AQ86" s="331"/>
      <c r="AR86" s="331"/>
      <c r="AS86" s="330"/>
      <c r="AT86" s="331"/>
      <c r="AU86" s="331"/>
      <c r="AV86" s="330"/>
      <c r="AW86" s="331"/>
      <c r="AX86" s="331"/>
      <c r="AY86" s="330"/>
      <c r="AZ86" s="331"/>
      <c r="BA86" s="331"/>
      <c r="BB86" s="330"/>
      <c r="BC86" s="331"/>
      <c r="BD86" s="331"/>
      <c r="BE86" s="330"/>
      <c r="BF86" s="331"/>
      <c r="BG86" s="331"/>
      <c r="BH86" s="330"/>
      <c r="BI86" s="331"/>
      <c r="BJ86" s="331"/>
      <c r="BK86" s="330"/>
      <c r="BL86" s="331"/>
      <c r="BM86" s="331"/>
      <c r="BN86" s="330"/>
      <c r="BO86" s="331"/>
      <c r="BP86" s="331"/>
      <c r="BQ86" s="330"/>
      <c r="BR86" s="331"/>
      <c r="BS86" s="331"/>
      <c r="BT86" s="330"/>
      <c r="BU86" s="331"/>
      <c r="BV86" s="331"/>
      <c r="BW86" s="330"/>
      <c r="BX86" s="331"/>
      <c r="BY86" s="331"/>
      <c r="BZ86" s="330"/>
      <c r="CA86" s="331"/>
      <c r="CB86" s="331"/>
      <c r="CC86" s="330"/>
      <c r="CD86" s="331"/>
      <c r="CE86" s="331"/>
      <c r="CF86" s="330"/>
      <c r="CG86" s="331"/>
      <c r="CH86" s="331"/>
      <c r="CI86" s="330"/>
      <c r="CJ86" s="331"/>
      <c r="CK86" s="331"/>
      <c r="CL86" s="330"/>
      <c r="CM86" s="331"/>
      <c r="CN86" s="331"/>
      <c r="CO86" s="330"/>
      <c r="CP86" s="331"/>
      <c r="CQ86" s="331"/>
    </row>
    <row r="87" spans="1:95" s="13" customFormat="1" ht="15" customHeight="1" x14ac:dyDescent="0.25">
      <c r="A87" s="58" t="s">
        <v>67</v>
      </c>
      <c r="B87" s="58" t="s">
        <v>79</v>
      </c>
      <c r="C87" s="58"/>
      <c r="D87" s="288" t="s">
        <v>270</v>
      </c>
      <c r="E87" s="289"/>
      <c r="F87" s="326" t="s">
        <v>271</v>
      </c>
      <c r="G87" s="327"/>
      <c r="H87" s="327"/>
      <c r="I87" s="326" t="s">
        <v>271</v>
      </c>
      <c r="J87" s="327"/>
      <c r="K87" s="327"/>
      <c r="L87" s="326" t="s">
        <v>271</v>
      </c>
      <c r="M87" s="327"/>
      <c r="N87" s="327"/>
      <c r="O87" s="326" t="s">
        <v>261</v>
      </c>
      <c r="P87" s="327"/>
      <c r="Q87" s="327"/>
      <c r="R87" s="326" t="s">
        <v>271</v>
      </c>
      <c r="S87" s="327"/>
      <c r="T87" s="327"/>
      <c r="U87" s="326" t="s">
        <v>271</v>
      </c>
      <c r="V87" s="327"/>
      <c r="W87" s="327"/>
      <c r="X87" s="326" t="s">
        <v>261</v>
      </c>
      <c r="Y87" s="327"/>
      <c r="Z87" s="327"/>
      <c r="AA87" s="326" t="s">
        <v>271</v>
      </c>
      <c r="AB87" s="327"/>
      <c r="AC87" s="327"/>
      <c r="AD87" s="326" t="s">
        <v>271</v>
      </c>
      <c r="AE87" s="327"/>
      <c r="AF87" s="327"/>
      <c r="AG87" s="326" t="s">
        <v>272</v>
      </c>
      <c r="AH87" s="327"/>
      <c r="AI87" s="327"/>
      <c r="AJ87" s="326" t="s">
        <v>272</v>
      </c>
      <c r="AK87" s="327"/>
      <c r="AL87" s="327"/>
      <c r="AM87" s="326"/>
      <c r="AN87" s="327"/>
      <c r="AO87" s="327"/>
      <c r="AP87" s="326"/>
      <c r="AQ87" s="327"/>
      <c r="AR87" s="327"/>
      <c r="AS87" s="326"/>
      <c r="AT87" s="327"/>
      <c r="AU87" s="327"/>
      <c r="AV87" s="326"/>
      <c r="AW87" s="327"/>
      <c r="AX87" s="327"/>
      <c r="AY87" s="326"/>
      <c r="AZ87" s="327"/>
      <c r="BA87" s="327"/>
      <c r="BB87" s="326"/>
      <c r="BC87" s="327"/>
      <c r="BD87" s="327"/>
      <c r="BE87" s="326"/>
      <c r="BF87" s="327"/>
      <c r="BG87" s="327"/>
      <c r="BH87" s="326"/>
      <c r="BI87" s="327"/>
      <c r="BJ87" s="327"/>
      <c r="BK87" s="326"/>
      <c r="BL87" s="327"/>
      <c r="BM87" s="327"/>
      <c r="BN87" s="326"/>
      <c r="BO87" s="327"/>
      <c r="BP87" s="327"/>
      <c r="BQ87" s="326"/>
      <c r="BR87" s="327"/>
      <c r="BS87" s="327"/>
      <c r="BT87" s="326"/>
      <c r="BU87" s="327"/>
      <c r="BV87" s="327"/>
      <c r="BW87" s="326"/>
      <c r="BX87" s="327"/>
      <c r="BY87" s="327"/>
      <c r="BZ87" s="326"/>
      <c r="CA87" s="327"/>
      <c r="CB87" s="327"/>
      <c r="CC87" s="326"/>
      <c r="CD87" s="327"/>
      <c r="CE87" s="327"/>
      <c r="CF87" s="326"/>
      <c r="CG87" s="327"/>
      <c r="CH87" s="327"/>
      <c r="CI87" s="326"/>
      <c r="CJ87" s="327"/>
      <c r="CK87" s="327"/>
      <c r="CL87" s="326"/>
      <c r="CM87" s="327"/>
      <c r="CN87" s="327"/>
      <c r="CO87" s="326"/>
      <c r="CP87" s="327"/>
      <c r="CQ87" s="327"/>
    </row>
    <row r="88" spans="1:95" s="1" customFormat="1" ht="18.75" customHeight="1" x14ac:dyDescent="0.25">
      <c r="A88" s="287" t="s">
        <v>273</v>
      </c>
      <c r="B88" s="287"/>
      <c r="C88" s="287"/>
      <c r="D88" s="287"/>
      <c r="E88" s="287"/>
      <c r="F88" s="48">
        <f>IF(SUMMARY!$B$7=TRUE,IF(COUNTBLANK(F89)&gt;0,0,1),"")</f>
        <v>1</v>
      </c>
      <c r="G88" s="49"/>
      <c r="H88" s="49"/>
      <c r="I88" s="50">
        <f>IF(SUMMARY!$B$8=TRUE,IF(COUNTBLANK(I89)&gt;0,0,1),"")</f>
        <v>1</v>
      </c>
      <c r="J88" s="49"/>
      <c r="K88" s="49"/>
      <c r="L88" s="50">
        <f>IF(SUMMARY!$B$9=TRUE,IF(COUNTBLANK(L89)&gt;0,0,1),"")</f>
        <v>1</v>
      </c>
      <c r="M88" s="49"/>
      <c r="N88" s="49"/>
      <c r="O88" s="50">
        <f>IF(SUMMARY!$B$10=TRUE,IF(COUNTBLANK(O89)&gt;0,0,1),"")</f>
        <v>1</v>
      </c>
      <c r="P88" s="49"/>
      <c r="Q88" s="49"/>
      <c r="R88" s="50">
        <f>IF(SUMMARY!$B$11=TRUE,IF(COUNTBLANK(R89)&gt;0,0,1),"")</f>
        <v>1</v>
      </c>
      <c r="S88" s="49"/>
      <c r="T88" s="49"/>
      <c r="U88" s="50">
        <f>IF(SUMMARY!$B$12=TRUE,IF(COUNTBLANK(U89)&gt;0,0,1),"")</f>
        <v>1</v>
      </c>
      <c r="V88" s="49"/>
      <c r="W88" s="49"/>
      <c r="X88" s="50">
        <f>IF(SUMMARY!$B$13=TRUE,IF(COUNTBLANK(X89)&gt;0,0,1),"")</f>
        <v>1</v>
      </c>
      <c r="Y88" s="49"/>
      <c r="Z88" s="49"/>
      <c r="AA88" s="50">
        <f>IF(SUMMARY!$B$14=TRUE,IF(COUNTBLANK(AA89)&gt;0,0,1),"")</f>
        <v>1</v>
      </c>
      <c r="AB88" s="49"/>
      <c r="AC88" s="49"/>
      <c r="AD88" s="50">
        <f>IF(SUMMARY!$B$15=TRUE,IF(COUNTBLANK(AD89)&gt;0,0,1),"")</f>
        <v>1</v>
      </c>
      <c r="AE88" s="49"/>
      <c r="AF88" s="49"/>
      <c r="AG88" s="50">
        <f>IF(SUMMARY!$B$16=TRUE,IF(COUNTBLANK(AG89)&gt;0,0,1),"")</f>
        <v>1</v>
      </c>
      <c r="AH88" s="49"/>
      <c r="AI88" s="49"/>
      <c r="AJ88" s="50">
        <f>IF(SUMMARY!$B$17=TRUE,IF(COUNTBLANK(AJ89)&gt;0,0,1),"")</f>
        <v>1</v>
      </c>
      <c r="AK88" s="49"/>
      <c r="AL88" s="49"/>
      <c r="AM88" s="50" t="str">
        <f>IF(SUMMARY!$B$18=TRUE,IF(COUNTBLANK(AM89)&gt;0,0,1),"")</f>
        <v/>
      </c>
      <c r="AN88" s="49"/>
      <c r="AO88" s="49"/>
      <c r="AP88" s="50" t="str">
        <f>IF(SUMMARY!$B$19=TRUE,IF(COUNTBLANK(AP89)&gt;0,0,1),"")</f>
        <v/>
      </c>
      <c r="AQ88" s="49"/>
      <c r="AR88" s="49"/>
      <c r="AS88" s="50" t="str">
        <f>IF(SUMMARY!$B$20=TRUE,IF(COUNTBLANK(AS89)&gt;0,0,1),"")</f>
        <v/>
      </c>
      <c r="AT88" s="49"/>
      <c r="AU88" s="49"/>
      <c r="AV88" s="50" t="str">
        <f>IF(SUMMARY!$B$21=TRUE,IF(COUNTBLANK(AV89)&gt;0,0,1),"")</f>
        <v/>
      </c>
      <c r="AW88" s="49"/>
      <c r="AX88" s="49"/>
      <c r="AY88" s="50" t="str">
        <f>IF(SUMMARY!$B$22=TRUE,IF(COUNTBLANK(AY89)&gt;0,0,1),"")</f>
        <v/>
      </c>
      <c r="AZ88" s="49"/>
      <c r="BA88" s="49"/>
      <c r="BB88" s="50" t="str">
        <f>IF(SUMMARY!$B$23=TRUE,IF(COUNTBLANK(BB89)&gt;0,0,1),"")</f>
        <v/>
      </c>
      <c r="BC88" s="49"/>
      <c r="BD88" s="49"/>
      <c r="BE88" s="50" t="str">
        <f>IF(SUMMARY!$B$24=TRUE,IF(COUNTBLANK(BE89)&gt;0,0,1),"")</f>
        <v/>
      </c>
      <c r="BF88" s="49"/>
      <c r="BG88" s="49"/>
      <c r="BH88" s="50" t="str">
        <f>IF(SUMMARY!$B$25=TRUE,IF(COUNTBLANK(BH89)&gt;0,0,1),"")</f>
        <v/>
      </c>
      <c r="BI88" s="49"/>
      <c r="BJ88" s="49"/>
      <c r="BK88" s="50" t="str">
        <f>IF(SUMMARY!$B$26=TRUE,IF(COUNTBLANK(BK89)&gt;0,0,1),"")</f>
        <v/>
      </c>
      <c r="BL88" s="49"/>
      <c r="BM88" s="49"/>
      <c r="BN88" s="50" t="str">
        <f>IF(SUMMARY!$B$27=TRUE,IF(COUNTBLANK(BN89)&gt;0,0,1),"")</f>
        <v/>
      </c>
      <c r="BO88" s="49"/>
      <c r="BP88" s="49"/>
      <c r="BQ88" s="50" t="str">
        <f>IF(SUMMARY!$B$28=TRUE,IF(COUNTBLANK(BQ89)&gt;0,0,1),"")</f>
        <v/>
      </c>
      <c r="BR88" s="49"/>
      <c r="BS88" s="49"/>
      <c r="BT88" s="50" t="str">
        <f>IF(SUMMARY!$B$29=TRUE,IF(COUNTBLANK(BT89)&gt;0,0,1),"")</f>
        <v/>
      </c>
      <c r="BU88" s="49"/>
      <c r="BV88" s="49"/>
      <c r="BW88" s="50" t="str">
        <f>IF(SUMMARY!$B$30=TRUE,IF(COUNTBLANK(BW89)&gt;0,0,1),"")</f>
        <v/>
      </c>
      <c r="BX88" s="49"/>
      <c r="BY88" s="49"/>
      <c r="BZ88" s="50" t="str">
        <f>IF(SUMMARY!$B$31=TRUE,IF(COUNTBLANK(BZ89)&gt;0,0,1),"")</f>
        <v/>
      </c>
      <c r="CA88" s="49"/>
      <c r="CB88" s="49"/>
      <c r="CC88" s="50" t="str">
        <f>IF(SUMMARY!$B$32=TRUE,IF(COUNTBLANK(CC89)&gt;0,0,1),"")</f>
        <v/>
      </c>
      <c r="CD88" s="49"/>
      <c r="CE88" s="49"/>
      <c r="CF88" s="50" t="str">
        <f>IF(SUMMARY!$B$33=TRUE,IF(COUNTBLANK(CF89)&gt;0,0,1),"")</f>
        <v/>
      </c>
      <c r="CG88" s="49"/>
      <c r="CH88" s="49"/>
      <c r="CI88" s="50" t="str">
        <f>IF(SUMMARY!$B$34=TRUE,IF(COUNTBLANK(CI89)&gt;0,0,1),"")</f>
        <v/>
      </c>
      <c r="CJ88" s="49"/>
      <c r="CK88" s="49"/>
      <c r="CL88" s="50" t="str">
        <f>IF(SUMMARY!$B$35=TRUE,IF(COUNTBLANK(CL89)&gt;0,0,1),"")</f>
        <v/>
      </c>
      <c r="CM88" s="49"/>
      <c r="CN88" s="49"/>
      <c r="CO88" s="51" t="str">
        <f>IF(SUMMARY!$B$36=TRUE,IF(COUNTBLANK(CO89)&gt;0,0,1),"")</f>
        <v/>
      </c>
      <c r="CP88" s="49"/>
      <c r="CQ88" s="49"/>
    </row>
    <row r="89" spans="1:95" s="14" customFormat="1" ht="75" customHeight="1" x14ac:dyDescent="0.2">
      <c r="A89" s="71" t="s">
        <v>67</v>
      </c>
      <c r="B89" s="72" t="s">
        <v>67</v>
      </c>
      <c r="C89" s="72"/>
      <c r="D89" s="285" t="s">
        <v>274</v>
      </c>
      <c r="E89" s="286"/>
      <c r="F89" s="324" t="s">
        <v>275</v>
      </c>
      <c r="G89" s="325"/>
      <c r="H89" s="325"/>
      <c r="I89" s="324" t="s">
        <v>276</v>
      </c>
      <c r="J89" s="325"/>
      <c r="K89" s="325"/>
      <c r="L89" s="324" t="s">
        <v>277</v>
      </c>
      <c r="M89" s="325"/>
      <c r="N89" s="325"/>
      <c r="O89" s="324" t="s">
        <v>278</v>
      </c>
      <c r="P89" s="325"/>
      <c r="Q89" s="325"/>
      <c r="R89" s="324" t="s">
        <v>279</v>
      </c>
      <c r="S89" s="325"/>
      <c r="T89" s="325"/>
      <c r="U89" s="324" t="s">
        <v>279</v>
      </c>
      <c r="V89" s="325"/>
      <c r="W89" s="325"/>
      <c r="X89" s="324" t="s">
        <v>280</v>
      </c>
      <c r="Y89" s="325"/>
      <c r="Z89" s="325"/>
      <c r="AA89" s="324" t="s">
        <v>281</v>
      </c>
      <c r="AB89" s="325"/>
      <c r="AC89" s="325"/>
      <c r="AD89" s="324" t="s">
        <v>282</v>
      </c>
      <c r="AE89" s="325"/>
      <c r="AF89" s="325"/>
      <c r="AG89" s="324" t="s">
        <v>283</v>
      </c>
      <c r="AH89" s="325"/>
      <c r="AI89" s="325"/>
      <c r="AJ89" s="324" t="s">
        <v>283</v>
      </c>
      <c r="AK89" s="325"/>
      <c r="AL89" s="325"/>
      <c r="AM89" s="324"/>
      <c r="AN89" s="325"/>
      <c r="AO89" s="325"/>
      <c r="AP89" s="324"/>
      <c r="AQ89" s="325"/>
      <c r="AR89" s="325"/>
      <c r="AS89" s="324"/>
      <c r="AT89" s="325"/>
      <c r="AU89" s="325"/>
      <c r="AV89" s="324"/>
      <c r="AW89" s="325"/>
      <c r="AX89" s="325"/>
      <c r="AY89" s="324"/>
      <c r="AZ89" s="325"/>
      <c r="BA89" s="325"/>
      <c r="BB89" s="324"/>
      <c r="BC89" s="325"/>
      <c r="BD89" s="325"/>
      <c r="BE89" s="324"/>
      <c r="BF89" s="325"/>
      <c r="BG89" s="325"/>
      <c r="BH89" s="324"/>
      <c r="BI89" s="325"/>
      <c r="BJ89" s="325"/>
      <c r="BK89" s="324"/>
      <c r="BL89" s="325"/>
      <c r="BM89" s="325"/>
      <c r="BN89" s="324"/>
      <c r="BO89" s="325"/>
      <c r="BP89" s="325"/>
      <c r="BQ89" s="324"/>
      <c r="BR89" s="325"/>
      <c r="BS89" s="325"/>
      <c r="BT89" s="324"/>
      <c r="BU89" s="325"/>
      <c r="BV89" s="325"/>
      <c r="BW89" s="324"/>
      <c r="BX89" s="325"/>
      <c r="BY89" s="325"/>
      <c r="BZ89" s="324"/>
      <c r="CA89" s="325"/>
      <c r="CB89" s="325"/>
      <c r="CC89" s="324"/>
      <c r="CD89" s="325"/>
      <c r="CE89" s="325"/>
      <c r="CF89" s="324"/>
      <c r="CG89" s="325"/>
      <c r="CH89" s="325"/>
      <c r="CI89" s="324"/>
      <c r="CJ89" s="325"/>
      <c r="CK89" s="325"/>
      <c r="CL89" s="324"/>
      <c r="CM89" s="325"/>
      <c r="CN89" s="325"/>
      <c r="CO89" s="324"/>
      <c r="CP89" s="325"/>
      <c r="CQ89" s="325"/>
    </row>
    <row r="90" spans="1:95" s="1" customFormat="1" ht="18.75" customHeight="1" x14ac:dyDescent="0.25">
      <c r="A90" s="284" t="s">
        <v>284</v>
      </c>
      <c r="B90" s="284"/>
      <c r="C90" s="284"/>
      <c r="D90" s="284"/>
      <c r="E90" s="284"/>
      <c r="F90" s="54">
        <f>IF(SUMMARY!$B$7=TRUE,IF(F91="All information has been successfully registered",1,IF(AND(ISERROR(SEARCH("items",F91))=FALSE,F92&lt;&gt;""),1,0)),"")</f>
        <v>1</v>
      </c>
      <c r="G90" s="55"/>
      <c r="H90" s="55"/>
      <c r="I90" s="54">
        <f>IF(SUMMARY!$B$8=TRUE,IF(I91="All information has been successfully registered",1,IF(AND(ISERROR(SEARCH("items",I91))=FALSE,I92&lt;&gt;""),1,0)),"")</f>
        <v>1</v>
      </c>
      <c r="J90" s="55"/>
      <c r="K90" s="55"/>
      <c r="L90" s="54">
        <f>IF(SUMMARY!$B$9=TRUE,IF(L91="All information has been successfully registered",1,IF(AND(ISERROR(SEARCH("items",L91))=FALSE,L92&lt;&gt;""),1,0)),"")</f>
        <v>1</v>
      </c>
      <c r="M90" s="55"/>
      <c r="N90" s="55"/>
      <c r="O90" s="54">
        <f>IF(SUMMARY!$B$10=TRUE,IF(O91="All information has been successfully registered",1,IF(AND(ISERROR(SEARCH("items",O91))=FALSE,O92&lt;&gt;""),1,0)),"")</f>
        <v>1</v>
      </c>
      <c r="P90" s="55"/>
      <c r="Q90" s="55"/>
      <c r="R90" s="54">
        <f>IF(SUMMARY!$B$11=TRUE,IF(R91="All information has been successfully registered",1,IF(AND(ISERROR(SEARCH("items",R91))=FALSE,R92&lt;&gt;""),1,0)),"")</f>
        <v>1</v>
      </c>
      <c r="S90" s="55"/>
      <c r="T90" s="55"/>
      <c r="U90" s="54">
        <f>IF(SUMMARY!$B$12=TRUE,IF(U91="All information has been successfully registered",1,IF(AND(ISERROR(SEARCH("items",U91))=FALSE,U92&lt;&gt;""),1,0)),"")</f>
        <v>1</v>
      </c>
      <c r="V90" s="55"/>
      <c r="W90" s="55"/>
      <c r="X90" s="54">
        <f>IF(SUMMARY!$B$13=TRUE,IF(X91="All information has been successfully registered",1,IF(AND(ISERROR(SEARCH("items",X91))=FALSE,X92&lt;&gt;""),1,0)),"")</f>
        <v>1</v>
      </c>
      <c r="Y90" s="55"/>
      <c r="Z90" s="55"/>
      <c r="AA90" s="54">
        <f>IF(SUMMARY!$B$14=TRUE,IF(AA91="All information has been successfully registered",1,IF(AND(ISERROR(SEARCH("items",AA91))=FALSE,AA92&lt;&gt;""),1,0)),"")</f>
        <v>1</v>
      </c>
      <c r="AB90" s="55"/>
      <c r="AC90" s="55"/>
      <c r="AD90" s="54">
        <f>IF(SUMMARY!$B$15=TRUE,IF(AD91="All information has been successfully registered",1,IF(AND(ISERROR(SEARCH("items",AD91))=FALSE,AD92&lt;&gt;""),1,0)),"")</f>
        <v>1</v>
      </c>
      <c r="AE90" s="55"/>
      <c r="AF90" s="55"/>
      <c r="AG90" s="54">
        <f>IF(SUMMARY!$B$16=TRUE,IF(AG91="All information has been successfully registered",1,IF(AND(ISERROR(SEARCH("items",AG91))=FALSE,AG92&lt;&gt;""),1,0)),"")</f>
        <v>1</v>
      </c>
      <c r="AH90" s="55"/>
      <c r="AI90" s="55"/>
      <c r="AJ90" s="54">
        <f>IF(SUMMARY!$B$17=TRUE,IF(AJ91="All information has been successfully registered",1,IF(AND(ISERROR(SEARCH("items",AJ91))=FALSE,AJ92&lt;&gt;""),1,0)),"")</f>
        <v>1</v>
      </c>
      <c r="AK90" s="55"/>
      <c r="AL90" s="55"/>
      <c r="AM90" s="54" t="str">
        <f>IF(SUMMARY!$B$18=TRUE,IF(AM91="All information has been successfully registered",1,IF(AND(ISERROR(SEARCH("items",AM91))=FALSE,AM92&lt;&gt;""),1,0)),"")</f>
        <v/>
      </c>
      <c r="AN90" s="55"/>
      <c r="AO90" s="55"/>
      <c r="AP90" s="54" t="str">
        <f>IF(SUMMARY!$B$19=TRUE,IF(AP91="All information has been successfully registered",1,IF(AND(ISERROR(SEARCH("items",AP91))=FALSE,AP92&lt;&gt;""),1,0)),"")</f>
        <v/>
      </c>
      <c r="AQ90" s="55"/>
      <c r="AR90" s="55"/>
      <c r="AS90" s="54" t="str">
        <f>IF(SUMMARY!$B$20=TRUE,IF(AS91="All information has been successfully registered",1,IF(AND(ISERROR(SEARCH("items",AS91))=FALSE,AS92&lt;&gt;""),1,0)),"")</f>
        <v/>
      </c>
      <c r="AT90" s="55"/>
      <c r="AU90" s="55"/>
      <c r="AV90" s="54" t="str">
        <f>IF(SUMMARY!$B$21=TRUE,IF(AV91="All information has been successfully registered",1,IF(AND(ISERROR(SEARCH("items",AV91))=FALSE,AV92&lt;&gt;""),1,0)),"")</f>
        <v/>
      </c>
      <c r="AW90" s="55"/>
      <c r="AX90" s="55"/>
      <c r="AY90" s="54" t="str">
        <f>IF(SUMMARY!$B$22=TRUE,IF(AY91="All information has been successfully registered",1,IF(AND(ISERROR(SEARCH("items",AY91))=FALSE,AY92&lt;&gt;""),1,0)),"")</f>
        <v/>
      </c>
      <c r="AZ90" s="55"/>
      <c r="BA90" s="55"/>
      <c r="BB90" s="54" t="str">
        <f>IF(SUMMARY!$B$23=TRUE,IF(BB91="All information has been successfully registered",1,IF(AND(ISERROR(SEARCH("items",BB91))=FALSE,BB92&lt;&gt;""),1,0)),"")</f>
        <v/>
      </c>
      <c r="BC90" s="55"/>
      <c r="BD90" s="55"/>
      <c r="BE90" s="54" t="str">
        <f>IF(SUMMARY!$B$24=TRUE,IF(BE91="All information has been successfully registered",1,IF(AND(ISERROR(SEARCH("items",BE91))=FALSE,BE92&lt;&gt;""),1,0)),"")</f>
        <v/>
      </c>
      <c r="BF90" s="55"/>
      <c r="BG90" s="55"/>
      <c r="BH90" s="54" t="str">
        <f>IF(SUMMARY!$B$25=TRUE,IF(BH91="All information has been successfully registered",1,IF(AND(ISERROR(SEARCH("items",BH91))=FALSE,BH92&lt;&gt;""),1,0)),"")</f>
        <v/>
      </c>
      <c r="BI90" s="55"/>
      <c r="BJ90" s="55"/>
      <c r="BK90" s="54" t="str">
        <f>IF(SUMMARY!$B$26=TRUE,IF(BK91="All information has been successfully registered",1,IF(AND(ISERROR(SEARCH("items",BK91))=FALSE,BK92&lt;&gt;""),1,0)),"")</f>
        <v/>
      </c>
      <c r="BL90" s="55"/>
      <c r="BM90" s="55"/>
      <c r="BN90" s="54" t="str">
        <f>IF(SUMMARY!$B$27=TRUE,IF(BN91="All information has been successfully registered",1,IF(AND(ISERROR(SEARCH("items",BN91))=FALSE,BN92&lt;&gt;""),1,0)),"")</f>
        <v/>
      </c>
      <c r="BO90" s="55"/>
      <c r="BP90" s="55"/>
      <c r="BQ90" s="54" t="str">
        <f>IF(SUMMARY!$B$28=TRUE,IF(BQ91="All information has been successfully registered",1,IF(AND(ISERROR(SEARCH("items",BQ91))=FALSE,BQ92&lt;&gt;""),1,0)),"")</f>
        <v/>
      </c>
      <c r="BR90" s="55"/>
      <c r="BS90" s="55"/>
      <c r="BT90" s="54" t="str">
        <f>IF(SUMMARY!$B$29=TRUE,IF(BT91="All information has been successfully registered",1,IF(AND(ISERROR(SEARCH("items",BT91))=FALSE,BT92&lt;&gt;""),1,0)),"")</f>
        <v/>
      </c>
      <c r="BU90" s="55"/>
      <c r="BV90" s="55"/>
      <c r="BW90" s="54" t="str">
        <f>IF(SUMMARY!$B$30=TRUE,IF(BW91="All information has been successfully registered",1,IF(AND(ISERROR(SEARCH("items",BW91))=FALSE,BW92&lt;&gt;""),1,0)),"")</f>
        <v/>
      </c>
      <c r="BX90" s="55"/>
      <c r="BY90" s="55"/>
      <c r="BZ90" s="54" t="str">
        <f>IF(SUMMARY!$B$31=TRUE,IF(BZ91="All information has been successfully registered",1,IF(AND(ISERROR(SEARCH("items",BZ91))=FALSE,BZ92&lt;&gt;""),1,0)),"")</f>
        <v/>
      </c>
      <c r="CA90" s="55"/>
      <c r="CB90" s="55"/>
      <c r="CC90" s="54" t="str">
        <f>IF(SUMMARY!$B$32=TRUE,IF(CC91="All information has been successfully registered",1,IF(AND(ISERROR(SEARCH("items",CC91))=FALSE,CC92&lt;&gt;""),1,0)),"")</f>
        <v/>
      </c>
      <c r="CD90" s="55"/>
      <c r="CE90" s="55"/>
      <c r="CF90" s="54" t="str">
        <f>IF(SUMMARY!$B$33=TRUE,IF(CF91="All information has been successfully registered",1,IF(AND(ISERROR(SEARCH("items",CF91))=FALSE,CF92&lt;&gt;""),1,0)),"")</f>
        <v/>
      </c>
      <c r="CG90" s="55"/>
      <c r="CH90" s="55"/>
      <c r="CI90" s="54" t="str">
        <f>IF(SUMMARY!$B$34=TRUE,IF(CI91="All information has been successfully registered",1,IF(AND(ISERROR(SEARCH("items",CI91))=FALSE,CI92&lt;&gt;""),1,0)),"")</f>
        <v/>
      </c>
      <c r="CJ90" s="55"/>
      <c r="CK90" s="55"/>
      <c r="CL90" s="54" t="str">
        <f>IF(SUMMARY!$B$35=TRUE,IF(CL91="All information has been successfully registered",1,IF(AND(ISERROR(SEARCH("items",CL91))=FALSE,CL92&lt;&gt;""),1,0)),"")</f>
        <v/>
      </c>
      <c r="CM90" s="55"/>
      <c r="CN90" s="55"/>
      <c r="CO90" s="56" t="str">
        <f>IF(SUMMARY!$B$36=TRUE,IF(CO91="All information has been successfully registered",1,IF(AND(ISERROR(SEARCH("items",CO91))=FALSE,CO92&lt;&gt;""),1,0)),"")</f>
        <v/>
      </c>
      <c r="CP90" s="55"/>
      <c r="CQ90" s="55"/>
    </row>
    <row r="91" spans="1:95" s="14" customFormat="1" ht="15" customHeight="1" x14ac:dyDescent="0.2">
      <c r="A91" s="73"/>
      <c r="B91" s="74"/>
      <c r="C91" s="74"/>
      <c r="D91" s="282" t="s">
        <v>285</v>
      </c>
      <c r="E91" s="283"/>
      <c r="F91" s="321" t="str">
        <f>IF(OR(F13=0,F15=0,F29=0,F37=0,F44=0,F49=0,F52=0,F57=0,F78=0,F83=0,F88=0)=TRUE,"Incomplete data extraction","All information has been successfully registered")</f>
        <v>All information has been successfully registered</v>
      </c>
      <c r="G91" s="322"/>
      <c r="H91" s="323"/>
      <c r="I91" s="321" t="str">
        <f>IF(OR(I13=0,I15=0,I29=0,I37=0,I44=0,I49=0,I52=0,I57=0,I78=0,I83=0,I88=0)=TRUE,"Incomplete data extraction","All information has been successfully registered")</f>
        <v>All information has been successfully registered</v>
      </c>
      <c r="J91" s="322"/>
      <c r="K91" s="323"/>
      <c r="L91" s="321" t="str">
        <f>IF(OR(L13=0,L15=0,L29=0,L37=0,L44=0,L49=0,L52=0,L57=0,L78=0,L83=0,L88=0)=TRUE,"Incomplete data extraction","All information has been successfully registered")</f>
        <v>All information has been successfully registered</v>
      </c>
      <c r="M91" s="322"/>
      <c r="N91" s="323"/>
      <c r="O91" s="321" t="str">
        <f>IF(OR(O13=0,O15=0,O29=0,O37=0,O44=0,O49=0,O52=0,O57=0,O78=0,O83=0,O88=0)=TRUE,"Incomplete data extraction","All information has been successfully registered")</f>
        <v>All information has been successfully registered</v>
      </c>
      <c r="P91" s="322"/>
      <c r="Q91" s="323"/>
      <c r="R91" s="321" t="str">
        <f>IF(OR(R13=0,R15=0,R29=0,R37=0,R44=0,R49=0,R52=0,R57=0,R78=0,R83=0,R88=0)=TRUE,"Incomplete data extraction","All information has been successfully registered")</f>
        <v>All information has been successfully registered</v>
      </c>
      <c r="S91" s="322"/>
      <c r="T91" s="323"/>
      <c r="U91" s="321" t="str">
        <f>IF(OR(U13=0,U15=0,U29=0,U37=0,U44=0,U49=0,U52=0,U57=0,U78=0,U83=0,U88=0)=TRUE,"Incomplete data extraction","All information has been successfully registered")</f>
        <v>All information has been successfully registered</v>
      </c>
      <c r="V91" s="322"/>
      <c r="W91" s="323"/>
      <c r="X91" s="321" t="str">
        <f>IF(OR(X13=0,X15=0,X29=0,X37=0,X44=0,X49=0,X52=0,X57=0,X78=0,X83=0,X88=0)=TRUE,"Incomplete data extraction","All information has been successfully registered")</f>
        <v>All information has been successfully registered</v>
      </c>
      <c r="Y91" s="322"/>
      <c r="Z91" s="323"/>
      <c r="AA91" s="321" t="str">
        <f>IF(OR(AA13=0,AA15=0,AA29=0,AA37=0,AA44=0,AA49=0,AA52=0,AA57=0,AA78=0,AA83=0,AA88=0)=TRUE,"Incomplete data extraction","All information has been successfully registered")</f>
        <v>All information has been successfully registered</v>
      </c>
      <c r="AB91" s="322"/>
      <c r="AC91" s="323"/>
      <c r="AD91" s="321" t="str">
        <f>IF(OR(AD13=0,AD15=0,AD29=0,AD37=0,AD44=0,AD49=0,AD52=0,AD57=0,AD78=0,AD83=0,AD88=0)=TRUE,"Incomplete data extraction","All information has been successfully registered")</f>
        <v>All information has been successfully registered</v>
      </c>
      <c r="AE91" s="322"/>
      <c r="AF91" s="323"/>
      <c r="AG91" s="321" t="str">
        <f>IF(OR(AG13=0,AG15=0,AG29=0,AG37=0,AG44=0,AG49=0,AG52=0,AG57=0,AG78=0,AG83=0,AG88=0)=TRUE,"Incomplete data extraction","All information has been successfully registered")</f>
        <v>All information has been successfully registered</v>
      </c>
      <c r="AH91" s="322"/>
      <c r="AI91" s="323"/>
      <c r="AJ91" s="321" t="str">
        <f>IF(OR(AJ13=0,AJ15=0,AJ29=0,AJ37=0,AJ44=0,AJ49=0,AJ52=0,AJ57=0,AJ78=0,AJ83=0,AJ88=0)=TRUE,"Incomplete data extraction","All information has been successfully registered")</f>
        <v>All information has been successfully registered</v>
      </c>
      <c r="AK91" s="322"/>
      <c r="AL91" s="323"/>
      <c r="AM91" s="321" t="str">
        <f>IF(OR(AM13=0,AM15=0,AM29=0,AM37=0,AM44=0,AM49=0,AM52=0,AM57=0,AM78=0,AM83=0,AM88=0)=TRUE,"Incomplete data extraction","All information has been successfully registered")</f>
        <v>All information has been successfully registered</v>
      </c>
      <c r="AN91" s="322"/>
      <c r="AO91" s="323"/>
      <c r="AP91" s="321" t="str">
        <f>IF(OR(AP13=0,AP15=0,AP29=0,AP37=0,AP44=0,AP49=0,AP52=0,AP57=0,AP78=0,AP83=0,AP88=0)=TRUE,"Incomplete data extraction","All information has been successfully registered")</f>
        <v>All information has been successfully registered</v>
      </c>
      <c r="AQ91" s="322"/>
      <c r="AR91" s="323"/>
      <c r="AS91" s="321" t="str">
        <f>IF(OR(AS13=0,AS15=0,AS29=0,AS37=0,AS44=0,AS49=0,AS52=0,AS57=0,AS78=0,AS83=0,AS88=0)=TRUE,"Incomplete data extraction","All information has been successfully registered")</f>
        <v>All information has been successfully registered</v>
      </c>
      <c r="AT91" s="322"/>
      <c r="AU91" s="323"/>
      <c r="AV91" s="321" t="str">
        <f>IF(OR(AV13=0,AV15=0,AV29=0,AV37=0,AV44=0,AV49=0,AV52=0,AV57=0,AV78=0,AV83=0,AV88=0)=TRUE,"Incomplete data extraction","All information has been successfully registered")</f>
        <v>All information has been successfully registered</v>
      </c>
      <c r="AW91" s="322"/>
      <c r="AX91" s="323"/>
      <c r="AY91" s="321" t="str">
        <f>IF(OR(AY13=0,AY15=0,AY29=0,AY37=0,AY44=0,AY49=0,AY52=0,AY57=0,AY78=0,AY83=0,AY88=0)=TRUE,"Incomplete data extraction","All information has been successfully registered")</f>
        <v>All information has been successfully registered</v>
      </c>
      <c r="AZ91" s="322"/>
      <c r="BA91" s="323"/>
      <c r="BB91" s="321" t="str">
        <f>IF(OR(BB13=0,BB15=0,BB29=0,BB37=0,BB44=0,BB49=0,BB52=0,BB57=0,BB78=0,BB83=0,BB88=0)=TRUE,"Incomplete data extraction","All information has been successfully registered")</f>
        <v>All information has been successfully registered</v>
      </c>
      <c r="BC91" s="322"/>
      <c r="BD91" s="323"/>
      <c r="BE91" s="321" t="str">
        <f>IF(OR(BE13=0,BE15=0,BE29=0,BE37=0,BE44=0,BE49=0,BE52=0,BE57=0,BE78=0,BE83=0,BE88=0)=TRUE,"Incomplete data extraction","All information has been successfully registered")</f>
        <v>All information has been successfully registered</v>
      </c>
      <c r="BF91" s="322"/>
      <c r="BG91" s="323"/>
      <c r="BH91" s="321" t="str">
        <f>IF(OR(BH13=0,BH15=0,BH29=0,BH37=0,BH44=0,BH49=0,BH52=0,BH57=0,BH78=0,BH83=0,BH88=0)=TRUE,"Incomplete data extraction","All information has been successfully registered")</f>
        <v>All information has been successfully registered</v>
      </c>
      <c r="BI91" s="322"/>
      <c r="BJ91" s="323"/>
      <c r="BK91" s="321" t="str">
        <f>IF(OR(BK13=0,BK15=0,BK29=0,BK37=0,BK44=0,BK49=0,BK52=0,BK57=0,BK78=0,BK83=0,BK88=0)=TRUE,"Incomplete data extraction","All information has been successfully registered")</f>
        <v>All information has been successfully registered</v>
      </c>
      <c r="BL91" s="322"/>
      <c r="BM91" s="323"/>
      <c r="BN91" s="321" t="str">
        <f>IF(OR(BN13=0,BN15=0,BN29=0,BN37=0,BN44=0,BN49=0,BN52=0,BN57=0,BN78=0,BN83=0,BN88=0)=TRUE,"Incomplete data extraction","All information has been successfully registered")</f>
        <v>All information has been successfully registered</v>
      </c>
      <c r="BO91" s="322"/>
      <c r="BP91" s="323"/>
      <c r="BQ91" s="321" t="str">
        <f>IF(OR(BQ13=0,BQ15=0,BQ29=0,BQ37=0,BQ44=0,BQ49=0,BQ52=0,BQ57=0,BQ78=0,BQ83=0,BQ88=0)=TRUE,"Incomplete data extraction","All information has been successfully registered")</f>
        <v>All information has been successfully registered</v>
      </c>
      <c r="BR91" s="322"/>
      <c r="BS91" s="323"/>
      <c r="BT91" s="321" t="str">
        <f>IF(OR(BT13=0,BT15=0,BT29=0,BT37=0,BT44=0,BT49=0,BT52=0,BT57=0,BT78=0,BT83=0,BT88=0)=TRUE,"Incomplete data extraction","All information has been successfully registered")</f>
        <v>All information has been successfully registered</v>
      </c>
      <c r="BU91" s="322"/>
      <c r="BV91" s="323"/>
      <c r="BW91" s="321" t="str">
        <f>IF(OR(BW13=0,BW15=0,BW29=0,BW37=0,BW44=0,BW49=0,BW52=0,BW57=0,BW78=0,BW83=0,BW88=0)=TRUE,"Incomplete data extraction","All information has been successfully registered")</f>
        <v>All information has been successfully registered</v>
      </c>
      <c r="BX91" s="322"/>
      <c r="BY91" s="323"/>
      <c r="BZ91" s="321" t="str">
        <f>IF(OR(BZ13=0,BZ15=0,BZ29=0,BZ37=0,BZ44=0,BZ49=0,BZ52=0,BZ57=0,BZ78=0,BZ83=0,BZ88=0)=TRUE,"Incomplete data extraction","All information has been successfully registered")</f>
        <v>All information has been successfully registered</v>
      </c>
      <c r="CA91" s="322"/>
      <c r="CB91" s="323"/>
      <c r="CC91" s="321" t="str">
        <f>IF(OR(CC13=0,CC15=0,CC29=0,CC37=0,CC44=0,CC49=0,CC52=0,CC57=0,CC78=0,CC83=0,CC88=0)=TRUE,"Incomplete data extraction","All information has been successfully registered")</f>
        <v>All information has been successfully registered</v>
      </c>
      <c r="CD91" s="322"/>
      <c r="CE91" s="323"/>
      <c r="CF91" s="321" t="str">
        <f>IF(OR(CF13=0,CF15=0,CF29=0,CF37=0,CF44=0,CF49=0,CF52=0,CF57=0,CF78=0,CF83=0,CF88=0)=TRUE,"Incomplete data extraction","All information has been successfully registered")</f>
        <v>All information has been successfully registered</v>
      </c>
      <c r="CG91" s="322"/>
      <c r="CH91" s="323"/>
      <c r="CI91" s="321" t="str">
        <f>IF(OR(CI13=0,CI15=0,CI29=0,CI37=0,CI44=0,CI49=0,CI52=0,CI57=0,CI78=0,CI83=0,CI88=0)=TRUE,"Incomplete data extraction","All information has been successfully registered")</f>
        <v>All information has been successfully registered</v>
      </c>
      <c r="CJ91" s="322"/>
      <c r="CK91" s="323"/>
      <c r="CL91" s="321" t="str">
        <f>IF(OR(CL13=0,CL15=0,CL29=0,CL37=0,CL44=0,CL49=0,CL52=0,CL57=0,CL78=0,CL83=0,CL88=0)=TRUE,"Incomplete data extraction","All information has been successfully registered")</f>
        <v>All information has been successfully registered</v>
      </c>
      <c r="CM91" s="322"/>
      <c r="CN91" s="323"/>
      <c r="CO91" s="321" t="str">
        <f>IF(OR(CO13=0,CO15=0,CO29=0,CO37=0,CO44=0,CO49=0,CO52=0,CO57=0,CO78=0,CO83=0,CO88=0)=TRUE,"Incomplete data extraction","All information has been successfully registered")</f>
        <v>All information has been successfully registered</v>
      </c>
      <c r="CP91" s="322"/>
      <c r="CQ91" s="322"/>
    </row>
    <row r="92" spans="1:95" s="14" customFormat="1" ht="90" customHeight="1" thickBot="1" x14ac:dyDescent="0.25">
      <c r="A92" s="75"/>
      <c r="B92" s="76"/>
      <c r="C92" s="76"/>
      <c r="D92" s="280" t="s">
        <v>286</v>
      </c>
      <c r="E92" s="281"/>
      <c r="F92" s="318" t="s">
        <v>287</v>
      </c>
      <c r="G92" s="319"/>
      <c r="H92" s="320"/>
      <c r="I92" s="318"/>
      <c r="J92" s="319"/>
      <c r="K92" s="320"/>
      <c r="L92" s="318"/>
      <c r="M92" s="319"/>
      <c r="N92" s="320"/>
      <c r="O92" s="318"/>
      <c r="P92" s="319"/>
      <c r="Q92" s="320"/>
      <c r="R92" s="318" t="s">
        <v>288</v>
      </c>
      <c r="S92" s="319"/>
      <c r="T92" s="320"/>
      <c r="U92" s="318" t="s">
        <v>288</v>
      </c>
      <c r="V92" s="319"/>
      <c r="W92" s="320"/>
      <c r="X92" s="318"/>
      <c r="Y92" s="319"/>
      <c r="Z92" s="320"/>
      <c r="AA92" s="318"/>
      <c r="AB92" s="319"/>
      <c r="AC92" s="320"/>
      <c r="AD92" s="318"/>
      <c r="AE92" s="319"/>
      <c r="AF92" s="320"/>
      <c r="AG92" s="318"/>
      <c r="AH92" s="319"/>
      <c r="AI92" s="320"/>
      <c r="AJ92" s="318"/>
      <c r="AK92" s="319"/>
      <c r="AL92" s="320"/>
      <c r="AM92" s="318"/>
      <c r="AN92" s="319"/>
      <c r="AO92" s="320"/>
      <c r="AP92" s="318"/>
      <c r="AQ92" s="319"/>
      <c r="AR92" s="320"/>
      <c r="AS92" s="318"/>
      <c r="AT92" s="319"/>
      <c r="AU92" s="320"/>
      <c r="AV92" s="318"/>
      <c r="AW92" s="319"/>
      <c r="AX92" s="320"/>
      <c r="AY92" s="318"/>
      <c r="AZ92" s="319"/>
      <c r="BA92" s="320"/>
      <c r="BB92" s="318"/>
      <c r="BC92" s="319"/>
      <c r="BD92" s="320"/>
      <c r="BE92" s="318"/>
      <c r="BF92" s="319"/>
      <c r="BG92" s="320"/>
      <c r="BH92" s="318"/>
      <c r="BI92" s="319"/>
      <c r="BJ92" s="320"/>
      <c r="BK92" s="318"/>
      <c r="BL92" s="319"/>
      <c r="BM92" s="320"/>
      <c r="BN92" s="318"/>
      <c r="BO92" s="319"/>
      <c r="BP92" s="320"/>
      <c r="BQ92" s="318"/>
      <c r="BR92" s="319"/>
      <c r="BS92" s="320"/>
      <c r="BT92" s="318"/>
      <c r="BU92" s="319"/>
      <c r="BV92" s="320"/>
      <c r="BW92" s="318"/>
      <c r="BX92" s="319"/>
      <c r="BY92" s="320"/>
      <c r="BZ92" s="318"/>
      <c r="CA92" s="319"/>
      <c r="CB92" s="320"/>
      <c r="CC92" s="318"/>
      <c r="CD92" s="319"/>
      <c r="CE92" s="320"/>
      <c r="CF92" s="318"/>
      <c r="CG92" s="319"/>
      <c r="CH92" s="320"/>
      <c r="CI92" s="318"/>
      <c r="CJ92" s="319"/>
      <c r="CK92" s="320"/>
      <c r="CL92" s="318"/>
      <c r="CM92" s="319"/>
      <c r="CN92" s="320"/>
      <c r="CO92" s="318"/>
      <c r="CP92" s="319"/>
      <c r="CQ92" s="319"/>
    </row>
    <row r="93" spans="1:95" s="82" customFormat="1" x14ac:dyDescent="0.25">
      <c r="A93" s="77" t="s">
        <v>289</v>
      </c>
      <c r="B93" s="78"/>
      <c r="C93" s="77"/>
      <c r="D93" s="77"/>
      <c r="E93" s="77"/>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c r="AT93" s="81"/>
      <c r="AU93" s="81"/>
      <c r="AV93" s="81"/>
      <c r="AW93" s="81"/>
      <c r="AX93" s="81"/>
      <c r="AY93" s="81"/>
      <c r="AZ93" s="81"/>
      <c r="BA93" s="81"/>
      <c r="BB93" s="81"/>
      <c r="BC93" s="81"/>
      <c r="BD93" s="81"/>
      <c r="BE93" s="81"/>
      <c r="BF93" s="81"/>
      <c r="BG93" s="81"/>
      <c r="BH93" s="81"/>
      <c r="BI93" s="81"/>
      <c r="BJ93" s="81"/>
      <c r="BK93" s="81"/>
      <c r="BL93" s="81"/>
      <c r="BM93" s="81"/>
      <c r="BN93" s="81"/>
      <c r="BO93" s="81"/>
      <c r="BP93" s="81"/>
      <c r="BQ93" s="81"/>
      <c r="BR93" s="81"/>
      <c r="BS93" s="81"/>
      <c r="BT93" s="81"/>
      <c r="BU93" s="81"/>
      <c r="BV93" s="81"/>
      <c r="BW93" s="81"/>
      <c r="BX93" s="81"/>
      <c r="BY93" s="81"/>
      <c r="BZ93" s="81"/>
      <c r="CA93" s="81"/>
      <c r="CB93" s="81"/>
      <c r="CC93" s="81"/>
      <c r="CD93" s="81"/>
      <c r="CE93" s="81"/>
      <c r="CF93" s="81"/>
      <c r="CG93" s="81"/>
      <c r="CH93" s="81"/>
      <c r="CI93" s="81"/>
      <c r="CJ93" s="81"/>
      <c r="CK93" s="81"/>
      <c r="CL93" s="81"/>
      <c r="CM93" s="81"/>
      <c r="CN93" s="81"/>
      <c r="CO93" s="81"/>
      <c r="CP93" s="81"/>
      <c r="CQ93" s="81"/>
    </row>
    <row r="94" spans="1:95" s="82" customFormat="1" x14ac:dyDescent="0.25">
      <c r="A94" s="83"/>
      <c r="B94" s="83"/>
      <c r="C94" s="84"/>
      <c r="D94" s="84"/>
      <c r="E94" s="84"/>
    </row>
    <row r="95" spans="1:95" s="87" customFormat="1" ht="15" customHeight="1" x14ac:dyDescent="0.25">
      <c r="A95" s="85"/>
      <c r="B95" s="85"/>
      <c r="C95" s="86"/>
      <c r="D95" s="86"/>
      <c r="E95" s="86"/>
      <c r="F95" s="87">
        <f>IF(F8="","NA",COUNTBLANK(F8:F12)+COUNTBLANK(F14)+COUNTBLANK(F16:F22)+COUNTBLANK(F30:F36)+COUNTBLANK(F38:F43)+COUNTBLANK(F45:F48)+COUNTBLANK(F50:F51)+COUNTBLANK(F53:F56)+COUNTBLANK(F58:F74)+COUNTBLANK(F79:F82)+COUNTBLANK(F84:F87)+COUNTBLANK(F89))</f>
        <v>1</v>
      </c>
      <c r="I95" s="87">
        <f>IF(I8="","NA",COUNTBLANK(I8:I12)+COUNTBLANK(I14)+COUNTBLANK(I16:I22)+COUNTBLANK(I30:I36)+COUNTBLANK(I38:I43)+COUNTBLANK(I45:I48)+COUNTBLANK(I50:I51)+COUNTBLANK(I53:I56)+COUNTBLANK(I58:I74)+COUNTBLANK(I79:I82)+COUNTBLANK(I84:I87)+COUNTBLANK(I89))</f>
        <v>1</v>
      </c>
      <c r="L95" s="87">
        <f>IF(L8="","NA",COUNTBLANK(L8:L12)+COUNTBLANK(L14)+COUNTBLANK(L16:L22)+COUNTBLANK(L30:L36)+COUNTBLANK(L38:L43)+COUNTBLANK(L45:L48)+COUNTBLANK(L50:L51)+COUNTBLANK(L53:L56)+COUNTBLANK(L58:L74)+COUNTBLANK(L79:L82)+COUNTBLANK(L84:L87)+COUNTBLANK(L89))</f>
        <v>1</v>
      </c>
      <c r="O95" s="87">
        <f>IF(O8="","NA",COUNTBLANK(O8:O12)+COUNTBLANK(O14)+COUNTBLANK(O16:O22)+COUNTBLANK(O30:O36)+COUNTBLANK(O38:O43)+COUNTBLANK(O45:O48)+COUNTBLANK(O50:O51)+COUNTBLANK(O53:O56)+COUNTBLANK(O58:O74)+COUNTBLANK(O79:O82)+COUNTBLANK(O84:O87)+COUNTBLANK(O89))</f>
        <v>1</v>
      </c>
      <c r="R95" s="87">
        <f>IF(R8="","NA",COUNTBLANK(R8:R12)+COUNTBLANK(R14)+COUNTBLANK(R16:R22)+COUNTBLANK(R30:R36)+COUNTBLANK(R38:R43)+COUNTBLANK(R45:R48)+COUNTBLANK(R50:R51)+COUNTBLANK(R53:R56)+COUNTBLANK(R58:R74)+COUNTBLANK(R79:R82)+COUNTBLANK(R84:R87)+COUNTBLANK(R89))</f>
        <v>1</v>
      </c>
      <c r="U95" s="87">
        <f>IF(U8="","NA",COUNTBLANK(U8:U12)+COUNTBLANK(U14)+COUNTBLANK(U16:U22)+COUNTBLANK(U30:U36)+COUNTBLANK(U38:U43)+COUNTBLANK(U45:U48)+COUNTBLANK(U50:U51)+COUNTBLANK(U53:U56)+COUNTBLANK(U58:U74)+COUNTBLANK(U79:U82)+COUNTBLANK(U84:U87)+COUNTBLANK(U89))</f>
        <v>1</v>
      </c>
      <c r="X95" s="87">
        <f>IF(X8="","NA",COUNTBLANK(X8:X12)+COUNTBLANK(X14)+COUNTBLANK(X16:X22)+COUNTBLANK(X30:X36)+COUNTBLANK(X38:X43)+COUNTBLANK(X45:X48)+COUNTBLANK(X50:X51)+COUNTBLANK(X53:X56)+COUNTBLANK(X58:X74)+COUNTBLANK(X79:X82)+COUNTBLANK(X84:X87)+COUNTBLANK(X89))</f>
        <v>1</v>
      </c>
      <c r="AA95" s="87">
        <f>IF(AA8="","NA",COUNTBLANK(AA8:AA12)+COUNTBLANK(AA14)+COUNTBLANK(AA16:AA22)+COUNTBLANK(AA30:AA36)+COUNTBLANK(AA38:AA43)+COUNTBLANK(AA45:AA48)+COUNTBLANK(AA50:AA51)+COUNTBLANK(AA53:AA56)+COUNTBLANK(AA58:AA74)+COUNTBLANK(AA79:AA82)+COUNTBLANK(AA84:AA87)+COUNTBLANK(AA89))</f>
        <v>1</v>
      </c>
      <c r="AD95" s="87">
        <f>IF(AD8="","NA",COUNTBLANK(AD8:AD12)+COUNTBLANK(AD14)+COUNTBLANK(AD16:AD22)+COUNTBLANK(AD30:AD36)+COUNTBLANK(AD38:AD43)+COUNTBLANK(AD45:AD48)+COUNTBLANK(AD50:AD51)+COUNTBLANK(AD53:AD56)+COUNTBLANK(AD58:AD74)+COUNTBLANK(AD79:AD82)+COUNTBLANK(AD84:AD87)+COUNTBLANK(AD89))</f>
        <v>1</v>
      </c>
      <c r="AG95" s="87">
        <f>IF(AG8="","NA",COUNTBLANK(AG8:AG12)+COUNTBLANK(AG14)+COUNTBLANK(AG16:AG22)+COUNTBLANK(AG30:AG36)+COUNTBLANK(AG38:AG43)+COUNTBLANK(AG45:AG48)+COUNTBLANK(AG50:AG51)+COUNTBLANK(AG53:AG56)+COUNTBLANK(AG58:AG74)+COUNTBLANK(AG79:AG82)+COUNTBLANK(AG84:AG87)+COUNTBLANK(AG89))</f>
        <v>1</v>
      </c>
      <c r="AJ95" s="87">
        <f>IF(AJ8="","NA",COUNTBLANK(AJ8:AJ12)+COUNTBLANK(AJ14)+COUNTBLANK(AJ16:AJ22)+COUNTBLANK(AJ30:AJ36)+COUNTBLANK(AJ38:AJ43)+COUNTBLANK(AJ45:AJ48)+COUNTBLANK(AJ50:AJ51)+COUNTBLANK(AJ53:AJ56)+COUNTBLANK(AJ58:AJ74)+COUNTBLANK(AJ79:AJ82)+COUNTBLANK(AJ84:AJ87)+COUNTBLANK(AJ89))</f>
        <v>1</v>
      </c>
      <c r="AM95" s="87" t="str">
        <f>IF(AM8="","NA",COUNTBLANK(AM8:AM12)+COUNTBLANK(AM14)+COUNTBLANK(AM16:AM22)+COUNTBLANK(AM30:AM36)+COUNTBLANK(AM38:AM43)+COUNTBLANK(AM45:AM48)+COUNTBLANK(AM50:AM51)+COUNTBLANK(AM53:AM56)+COUNTBLANK(AM58:AM74)+COUNTBLANK(AM79:AM82)+COUNTBLANK(AM84:AM87)+COUNTBLANK(AM89))</f>
        <v>NA</v>
      </c>
      <c r="AP95" s="87" t="str">
        <f>IF(AP8="","NA",COUNTBLANK(AP8:AP12)+COUNTBLANK(AP14)+COUNTBLANK(AP16:AP22)+COUNTBLANK(AP30:AP36)+COUNTBLANK(AP38:AP43)+COUNTBLANK(AP45:AP48)+COUNTBLANK(AP50:AP51)+COUNTBLANK(AP53:AP56)+COUNTBLANK(AP58:AP74)+COUNTBLANK(AP79:AP82)+COUNTBLANK(AP84:AP87)+COUNTBLANK(AP89))</f>
        <v>NA</v>
      </c>
      <c r="AS95" s="87" t="str">
        <f>IF(AS8="","NA",COUNTBLANK(AS8:AS12)+COUNTBLANK(AS14)+COUNTBLANK(AS16:AS22)+COUNTBLANK(AS30:AS36)+COUNTBLANK(AS38:AS43)+COUNTBLANK(AS45:AS48)+COUNTBLANK(AS50:AS51)+COUNTBLANK(AS53:AS56)+COUNTBLANK(AS58:AS74)+COUNTBLANK(AS79:AS82)+COUNTBLANK(AS84:AS87)+COUNTBLANK(AS89))</f>
        <v>NA</v>
      </c>
      <c r="AV95" s="87" t="str">
        <f>IF(AV8="","NA",COUNTBLANK(AV8:AV12)+COUNTBLANK(AV14)+COUNTBLANK(AV16:AV22)+COUNTBLANK(AV30:AV36)+COUNTBLANK(AV38:AV43)+COUNTBLANK(AV45:AV48)+COUNTBLANK(AV50:AV51)+COUNTBLANK(AV53:AV56)+COUNTBLANK(AV58:AV74)+COUNTBLANK(AV79:AV82)+COUNTBLANK(AV84:AV87)+COUNTBLANK(AV89))</f>
        <v>NA</v>
      </c>
      <c r="AY95" s="87" t="str">
        <f>IF(AY8="","NA",COUNTBLANK(AY8:AY12)+COUNTBLANK(AY14)+COUNTBLANK(AY16:AY22)+COUNTBLANK(AY30:AY36)+COUNTBLANK(AY38:AY43)+COUNTBLANK(AY45:AY48)+COUNTBLANK(AY50:AY51)+COUNTBLANK(AY53:AY56)+COUNTBLANK(AY58:AY74)+COUNTBLANK(AY79:AY82)+COUNTBLANK(AY84:AY87)+COUNTBLANK(AY89))</f>
        <v>NA</v>
      </c>
      <c r="BB95" s="87" t="str">
        <f>IF(BB8="","NA",COUNTBLANK(BB8:BB12)+COUNTBLANK(BB14)+COUNTBLANK(BB16:BB22)+COUNTBLANK(BB30:BB36)+COUNTBLANK(BB38:BB43)+COUNTBLANK(BB45:BB48)+COUNTBLANK(BB50:BB51)+COUNTBLANK(BB53:BB56)+COUNTBLANK(BB58:BB74)+COUNTBLANK(BB79:BB82)+COUNTBLANK(BB84:BB87)+COUNTBLANK(BB89))</f>
        <v>NA</v>
      </c>
      <c r="BE95" s="87" t="str">
        <f>IF(BE8="","NA",COUNTBLANK(BE8:BE12)+COUNTBLANK(BE14)+COUNTBLANK(BE16:BE22)+COUNTBLANK(BE30:BE36)+COUNTBLANK(BE38:BE43)+COUNTBLANK(BE45:BE48)+COUNTBLANK(BE50:BE51)+COUNTBLANK(BE53:BE56)+COUNTBLANK(BE58:BE74)+COUNTBLANK(BE79:BE82)+COUNTBLANK(BE84:BE87)+COUNTBLANK(BE89))</f>
        <v>NA</v>
      </c>
      <c r="BH95" s="87" t="str">
        <f>IF(BH8="","NA",COUNTBLANK(BH8:BH12)+COUNTBLANK(BH14)+COUNTBLANK(BH16:BH22)+COUNTBLANK(BH30:BH36)+COUNTBLANK(BH38:BH43)+COUNTBLANK(BH45:BH48)+COUNTBLANK(BH50:BH51)+COUNTBLANK(BH53:BH56)+COUNTBLANK(BH58:BH74)+COUNTBLANK(BH79:BH82)+COUNTBLANK(BH84:BH87)+COUNTBLANK(BH89))</f>
        <v>NA</v>
      </c>
      <c r="BK95" s="87" t="str">
        <f>IF(BK8="","NA",COUNTBLANK(BK8:BK12)+COUNTBLANK(BK14)+COUNTBLANK(BK16:BK22)+COUNTBLANK(BK30:BK36)+COUNTBLANK(BK38:BK43)+COUNTBLANK(BK45:BK48)+COUNTBLANK(BK50:BK51)+COUNTBLANK(BK53:BK56)+COUNTBLANK(BK58:BK74)+COUNTBLANK(BK79:BK82)+COUNTBLANK(BK84:BK87)+COUNTBLANK(BK89))</f>
        <v>NA</v>
      </c>
      <c r="BN95" s="87" t="str">
        <f>IF(BN8="","NA",COUNTBLANK(BN8:BN12)+COUNTBLANK(BN14)+COUNTBLANK(BN16:BN22)+COUNTBLANK(BN30:BN36)+COUNTBLANK(BN38:BN43)+COUNTBLANK(BN45:BN48)+COUNTBLANK(BN50:BN51)+COUNTBLANK(BN53:BN56)+COUNTBLANK(BN58:BN74)+COUNTBLANK(BN79:BN82)+COUNTBLANK(BN84:BN87)+COUNTBLANK(BN89))</f>
        <v>NA</v>
      </c>
      <c r="BQ95" s="87" t="str">
        <f>IF(BQ8="","NA",COUNTBLANK(BQ8:BQ12)+COUNTBLANK(BQ14)+COUNTBLANK(BQ16:BQ22)+COUNTBLANK(BQ30:BQ36)+COUNTBLANK(BQ38:BQ43)+COUNTBLANK(BQ45:BQ48)+COUNTBLANK(BQ50:BQ51)+COUNTBLANK(BQ53:BQ56)+COUNTBLANK(BQ58:BQ74)+COUNTBLANK(BQ79:BQ82)+COUNTBLANK(BQ84:BQ87)+COUNTBLANK(BQ89))</f>
        <v>NA</v>
      </c>
      <c r="BT95" s="87" t="str">
        <f>IF(BT8="","NA",COUNTBLANK(BT8:BT12)+COUNTBLANK(BT14)+COUNTBLANK(BT16:BT22)+COUNTBLANK(BT30:BT36)+COUNTBLANK(BT38:BT43)+COUNTBLANK(BT45:BT48)+COUNTBLANK(BT50:BT51)+COUNTBLANK(BT53:BT56)+COUNTBLANK(BT58:BT74)+COUNTBLANK(BT79:BT82)+COUNTBLANK(BT84:BT87)+COUNTBLANK(BT89))</f>
        <v>NA</v>
      </c>
      <c r="BW95" s="87" t="str">
        <f>IF(BW8="","NA",COUNTBLANK(BW8:BW12)+COUNTBLANK(BW14)+COUNTBLANK(BW16:BW22)+COUNTBLANK(BW30:BW36)+COUNTBLANK(BW38:BW43)+COUNTBLANK(BW45:BW48)+COUNTBLANK(BW50:BW51)+COUNTBLANK(BW53:BW56)+COUNTBLANK(BW58:BW74)+COUNTBLANK(BW79:BW82)+COUNTBLANK(BW84:BW87)+COUNTBLANK(BW89))</f>
        <v>NA</v>
      </c>
      <c r="BZ95" s="87" t="str">
        <f>IF(BZ8="","NA",COUNTBLANK(BZ8:BZ12)+COUNTBLANK(BZ14)+COUNTBLANK(BZ16:BZ22)+COUNTBLANK(BZ30:BZ36)+COUNTBLANK(BZ38:BZ43)+COUNTBLANK(BZ45:BZ48)+COUNTBLANK(BZ50:BZ51)+COUNTBLANK(BZ53:BZ56)+COUNTBLANK(BZ58:BZ74)+COUNTBLANK(BZ79:BZ82)+COUNTBLANK(BZ84:BZ87)+COUNTBLANK(BZ89))</f>
        <v>NA</v>
      </c>
      <c r="CC95" s="87" t="str">
        <f>IF(CC8="","NA",COUNTBLANK(CC8:CC12)+COUNTBLANK(CC14)+COUNTBLANK(CC16:CC22)+COUNTBLANK(CC30:CC36)+COUNTBLANK(CC38:CC43)+COUNTBLANK(CC45:CC48)+COUNTBLANK(CC50:CC51)+COUNTBLANK(CC53:CC56)+COUNTBLANK(CC58:CC74)+COUNTBLANK(CC79:CC82)+COUNTBLANK(CC84:CC87)+COUNTBLANK(CC89))</f>
        <v>NA</v>
      </c>
      <c r="CF95" s="87" t="str">
        <f>IF(CF8="","NA",COUNTBLANK(CF8:CF12)+COUNTBLANK(CF14)+COUNTBLANK(CF16:CF22)+COUNTBLANK(CF30:CF36)+COUNTBLANK(CF38:CF43)+COUNTBLANK(CF45:CF48)+COUNTBLANK(CF50:CF51)+COUNTBLANK(CF53:CF56)+COUNTBLANK(CF58:CF74)+COUNTBLANK(CF79:CF82)+COUNTBLANK(CF84:CF87)+COUNTBLANK(CF89))</f>
        <v>NA</v>
      </c>
      <c r="CI95" s="87" t="str">
        <f>IF(CI8="","NA",COUNTBLANK(CI8:CI12)+COUNTBLANK(CI14)+COUNTBLANK(CI16:CI22)+COUNTBLANK(CI30:CI36)+COUNTBLANK(CI38:CI43)+COUNTBLANK(CI45:CI48)+COUNTBLANK(CI50:CI51)+COUNTBLANK(CI53:CI56)+COUNTBLANK(CI58:CI74)+COUNTBLANK(CI79:CI82)+COUNTBLANK(CI84:CI87)+COUNTBLANK(CI89))</f>
        <v>NA</v>
      </c>
      <c r="CL95" s="87" t="str">
        <f>IF(CL8="","NA",COUNTBLANK(CL8:CL12)+COUNTBLANK(CL14)+COUNTBLANK(CL16:CL22)+COUNTBLANK(CL30:CL36)+COUNTBLANK(CL38:CL43)+COUNTBLANK(CL45:CL48)+COUNTBLANK(CL50:CL51)+COUNTBLANK(CL53:CL56)+COUNTBLANK(CL58:CL74)+COUNTBLANK(CL79:CL82)+COUNTBLANK(CL84:CL87)+COUNTBLANK(CL89))</f>
        <v>NA</v>
      </c>
      <c r="CO95" s="87" t="str">
        <f>IF(CO8="","NA",COUNTBLANK(CO8:CO12)+COUNTBLANK(CO14)+COUNTBLANK(CO16:CO22)+COUNTBLANK(CO30:CO36)+COUNTBLANK(CO38:CO43)+COUNTBLANK(CO45:CO48)+COUNTBLANK(CO50:CO51)+COUNTBLANK(CO53:CO56)+COUNTBLANK(CO58:CO74)+COUNTBLANK(CO79:CO82)+COUNTBLANK(CO84:CO87)+COUNTBLANK(CO89))</f>
        <v>NA</v>
      </c>
    </row>
    <row r="96" spans="1:95" x14ac:dyDescent="0.25">
      <c r="G96" s="25"/>
    </row>
  </sheetData>
  <sheetProtection selectLockedCells="1"/>
  <mergeCells count="2031">
    <mergeCell ref="A3:E3"/>
    <mergeCell ref="F91:H91"/>
    <mergeCell ref="BN7:BP7"/>
    <mergeCell ref="BQ7:BS7"/>
    <mergeCell ref="BT7:BV7"/>
    <mergeCell ref="BW7:BY7"/>
    <mergeCell ref="BZ7:CB7"/>
    <mergeCell ref="CC7:CE7"/>
    <mergeCell ref="CF7:CH7"/>
    <mergeCell ref="CI7:CK7"/>
    <mergeCell ref="CL7:CN7"/>
    <mergeCell ref="CO7:CQ7"/>
    <mergeCell ref="F7:H7"/>
    <mergeCell ref="AG7:AI7"/>
    <mergeCell ref="AD7:AF7"/>
    <mergeCell ref="AA7:AC7"/>
    <mergeCell ref="X7:Z7"/>
    <mergeCell ref="U7:W7"/>
    <mergeCell ref="F27:G27"/>
    <mergeCell ref="F26:G26"/>
    <mergeCell ref="F28:G28"/>
    <mergeCell ref="F25:G25"/>
    <mergeCell ref="F24:G24"/>
    <mergeCell ref="BH47:BJ47"/>
    <mergeCell ref="BK47:BM47"/>
    <mergeCell ref="BN47:BP47"/>
    <mergeCell ref="BQ47:BS47"/>
    <mergeCell ref="BT47:BV47"/>
    <mergeCell ref="BW47:BY47"/>
    <mergeCell ref="BZ47:CB47"/>
    <mergeCell ref="CC47:CE47"/>
    <mergeCell ref="CF47:CH47"/>
    <mergeCell ref="F14:H14"/>
    <mergeCell ref="F22:H22"/>
    <mergeCell ref="F21:H21"/>
    <mergeCell ref="F20:H20"/>
    <mergeCell ref="F19:H19"/>
    <mergeCell ref="F18:H18"/>
    <mergeCell ref="F17:H17"/>
    <mergeCell ref="F16:H16"/>
    <mergeCell ref="F6:H6"/>
    <mergeCell ref="F12:H12"/>
    <mergeCell ref="F11:H11"/>
    <mergeCell ref="F10:H10"/>
    <mergeCell ref="F9:H9"/>
    <mergeCell ref="F8:H8"/>
    <mergeCell ref="F23:G23"/>
    <mergeCell ref="BB47:BD47"/>
    <mergeCell ref="BE47:BG47"/>
    <mergeCell ref="I47:K47"/>
    <mergeCell ref="L47:N47"/>
    <mergeCell ref="O47:Q47"/>
    <mergeCell ref="R47:T47"/>
    <mergeCell ref="U47:W47"/>
    <mergeCell ref="X47:Z47"/>
    <mergeCell ref="AA47:AC47"/>
    <mergeCell ref="AD47:AF47"/>
    <mergeCell ref="AG47:AI47"/>
    <mergeCell ref="AJ47:AL47"/>
    <mergeCell ref="AM47:AO47"/>
    <mergeCell ref="AP47:AR47"/>
    <mergeCell ref="AS47:AU47"/>
    <mergeCell ref="AV47:AX47"/>
    <mergeCell ref="AY47:BA47"/>
    <mergeCell ref="F55:H55"/>
    <mergeCell ref="F54:H54"/>
    <mergeCell ref="F53:H53"/>
    <mergeCell ref="F58:H58"/>
    <mergeCell ref="F48:H48"/>
    <mergeCell ref="F46:H46"/>
    <mergeCell ref="F45:H45"/>
    <mergeCell ref="F51:H51"/>
    <mergeCell ref="F50:H50"/>
    <mergeCell ref="F31:H31"/>
    <mergeCell ref="F30:H30"/>
    <mergeCell ref="F43:H43"/>
    <mergeCell ref="F42:H42"/>
    <mergeCell ref="F41:H41"/>
    <mergeCell ref="F40:H40"/>
    <mergeCell ref="F39:H39"/>
    <mergeCell ref="F38:H38"/>
    <mergeCell ref="F36:H36"/>
    <mergeCell ref="F35:H35"/>
    <mergeCell ref="F34:H34"/>
    <mergeCell ref="F33:H33"/>
    <mergeCell ref="F32:H32"/>
    <mergeCell ref="F47:H47"/>
    <mergeCell ref="I30:K30"/>
    <mergeCell ref="L30:N30"/>
    <mergeCell ref="O30:Q30"/>
    <mergeCell ref="R30:T30"/>
    <mergeCell ref="U30:W30"/>
    <mergeCell ref="X30:Z30"/>
    <mergeCell ref="AA30:AC30"/>
    <mergeCell ref="AD30:AF30"/>
    <mergeCell ref="F82:H82"/>
    <mergeCell ref="F84:H84"/>
    <mergeCell ref="F85:H85"/>
    <mergeCell ref="F87:H87"/>
    <mergeCell ref="F89:H89"/>
    <mergeCell ref="F86:H86"/>
    <mergeCell ref="F69:H69"/>
    <mergeCell ref="F71:H71"/>
    <mergeCell ref="F79:H79"/>
    <mergeCell ref="F80:H80"/>
    <mergeCell ref="F81:H81"/>
    <mergeCell ref="F64:H64"/>
    <mergeCell ref="F59:H59"/>
    <mergeCell ref="F62:H62"/>
    <mergeCell ref="F67:H67"/>
    <mergeCell ref="F68:H68"/>
    <mergeCell ref="F56:H56"/>
    <mergeCell ref="X31:Z31"/>
    <mergeCell ref="AA31:AC31"/>
    <mergeCell ref="AD31:AF31"/>
    <mergeCell ref="I32:K32"/>
    <mergeCell ref="L32:N32"/>
    <mergeCell ref="O32:Q32"/>
    <mergeCell ref="R32:T32"/>
    <mergeCell ref="X6:Z6"/>
    <mergeCell ref="AA6:AC6"/>
    <mergeCell ref="AD6:AF6"/>
    <mergeCell ref="I8:K8"/>
    <mergeCell ref="L8:N8"/>
    <mergeCell ref="O8:Q8"/>
    <mergeCell ref="R8:T8"/>
    <mergeCell ref="U8:W8"/>
    <mergeCell ref="X8:Z8"/>
    <mergeCell ref="AA8:AC8"/>
    <mergeCell ref="AD8:AF8"/>
    <mergeCell ref="AG6:AI6"/>
    <mergeCell ref="AG8:AI8"/>
    <mergeCell ref="I6:K6"/>
    <mergeCell ref="L6:N6"/>
    <mergeCell ref="O6:Q6"/>
    <mergeCell ref="R6:T6"/>
    <mergeCell ref="U6:W6"/>
    <mergeCell ref="L7:N7"/>
    <mergeCell ref="I7:K7"/>
    <mergeCell ref="R7:T7"/>
    <mergeCell ref="O7:Q7"/>
    <mergeCell ref="X9:Z9"/>
    <mergeCell ref="AA9:AC9"/>
    <mergeCell ref="AD9:AF9"/>
    <mergeCell ref="I10:K10"/>
    <mergeCell ref="L10:N10"/>
    <mergeCell ref="O10:Q10"/>
    <mergeCell ref="R10:T10"/>
    <mergeCell ref="U10:W10"/>
    <mergeCell ref="X10:Z10"/>
    <mergeCell ref="AA10:AC10"/>
    <mergeCell ref="AD10:AF10"/>
    <mergeCell ref="AG9:AI9"/>
    <mergeCell ref="AG10:AI10"/>
    <mergeCell ref="I9:K9"/>
    <mergeCell ref="L9:N9"/>
    <mergeCell ref="O9:Q9"/>
    <mergeCell ref="R9:T9"/>
    <mergeCell ref="U9:W9"/>
    <mergeCell ref="X11:Z11"/>
    <mergeCell ref="AA11:AC11"/>
    <mergeCell ref="AD11:AF11"/>
    <mergeCell ref="I12:K12"/>
    <mergeCell ref="L12:N12"/>
    <mergeCell ref="O12:Q12"/>
    <mergeCell ref="R12:T12"/>
    <mergeCell ref="U12:W12"/>
    <mergeCell ref="X12:Z12"/>
    <mergeCell ref="AA12:AC12"/>
    <mergeCell ref="AD12:AF12"/>
    <mergeCell ref="AG11:AI11"/>
    <mergeCell ref="AG12:AI12"/>
    <mergeCell ref="I11:K11"/>
    <mergeCell ref="L11:N11"/>
    <mergeCell ref="O11:Q11"/>
    <mergeCell ref="R11:T11"/>
    <mergeCell ref="U11:W11"/>
    <mergeCell ref="X14:Z14"/>
    <mergeCell ref="AA14:AC14"/>
    <mergeCell ref="AD14:AF14"/>
    <mergeCell ref="I16:K16"/>
    <mergeCell ref="L16:N16"/>
    <mergeCell ref="O16:Q16"/>
    <mergeCell ref="R16:T16"/>
    <mergeCell ref="U16:W16"/>
    <mergeCell ref="X16:Z16"/>
    <mergeCell ref="AA16:AC16"/>
    <mergeCell ref="AD16:AF16"/>
    <mergeCell ref="AG14:AI14"/>
    <mergeCell ref="AG16:AI16"/>
    <mergeCell ref="I14:K14"/>
    <mergeCell ref="L14:N14"/>
    <mergeCell ref="O14:Q14"/>
    <mergeCell ref="R14:T14"/>
    <mergeCell ref="U14:W14"/>
    <mergeCell ref="X17:Z17"/>
    <mergeCell ref="AA17:AC17"/>
    <mergeCell ref="AD17:AF17"/>
    <mergeCell ref="I18:K18"/>
    <mergeCell ref="L18:N18"/>
    <mergeCell ref="O18:Q18"/>
    <mergeCell ref="R18:T18"/>
    <mergeCell ref="U18:W18"/>
    <mergeCell ref="X18:Z18"/>
    <mergeCell ref="AA18:AC18"/>
    <mergeCell ref="AD18:AF18"/>
    <mergeCell ref="AG17:AI17"/>
    <mergeCell ref="AG18:AI18"/>
    <mergeCell ref="I17:K17"/>
    <mergeCell ref="L17:N17"/>
    <mergeCell ref="O17:Q17"/>
    <mergeCell ref="R17:T17"/>
    <mergeCell ref="U17:W17"/>
    <mergeCell ref="X19:Z19"/>
    <mergeCell ref="AA19:AC19"/>
    <mergeCell ref="AD19:AF19"/>
    <mergeCell ref="I20:K20"/>
    <mergeCell ref="L20:N20"/>
    <mergeCell ref="O20:Q20"/>
    <mergeCell ref="R20:T20"/>
    <mergeCell ref="U20:W20"/>
    <mergeCell ref="X20:Z20"/>
    <mergeCell ref="AA20:AC20"/>
    <mergeCell ref="AD20:AF20"/>
    <mergeCell ref="AG19:AI19"/>
    <mergeCell ref="AG20:AI20"/>
    <mergeCell ref="I19:K19"/>
    <mergeCell ref="L19:N19"/>
    <mergeCell ref="O19:Q19"/>
    <mergeCell ref="R19:T19"/>
    <mergeCell ref="U19:W19"/>
    <mergeCell ref="AG30:AI30"/>
    <mergeCell ref="I23:J23"/>
    <mergeCell ref="I24:J24"/>
    <mergeCell ref="I25:J25"/>
    <mergeCell ref="X21:Z21"/>
    <mergeCell ref="AA21:AC21"/>
    <mergeCell ref="AD21:AF21"/>
    <mergeCell ref="I22:K22"/>
    <mergeCell ref="L22:N22"/>
    <mergeCell ref="O22:Q22"/>
    <mergeCell ref="R22:T22"/>
    <mergeCell ref="U22:W22"/>
    <mergeCell ref="X22:Z22"/>
    <mergeCell ref="AA22:AC22"/>
    <mergeCell ref="AD22:AF22"/>
    <mergeCell ref="AG21:AI21"/>
    <mergeCell ref="AG22:AI22"/>
    <mergeCell ref="I21:K21"/>
    <mergeCell ref="L21:N21"/>
    <mergeCell ref="O21:Q21"/>
    <mergeCell ref="R21:T21"/>
    <mergeCell ref="U21:W21"/>
    <mergeCell ref="I26:J26"/>
    <mergeCell ref="I27:J27"/>
    <mergeCell ref="I28:J28"/>
    <mergeCell ref="L23:M23"/>
    <mergeCell ref="O23:P23"/>
    <mergeCell ref="R23:S23"/>
    <mergeCell ref="U23:V23"/>
    <mergeCell ref="X23:Y23"/>
    <mergeCell ref="AA23:AB23"/>
    <mergeCell ref="AD23:AE23"/>
    <mergeCell ref="U32:W32"/>
    <mergeCell ref="X32:Z32"/>
    <mergeCell ref="AA32:AC32"/>
    <mergeCell ref="AD32:AF32"/>
    <mergeCell ref="AG31:AI31"/>
    <mergeCell ref="AG32:AI32"/>
    <mergeCell ref="I31:K31"/>
    <mergeCell ref="L31:N31"/>
    <mergeCell ref="O31:Q31"/>
    <mergeCell ref="R31:T31"/>
    <mergeCell ref="U31:W31"/>
    <mergeCell ref="X33:Z33"/>
    <mergeCell ref="AA33:AC33"/>
    <mergeCell ref="AD33:AF33"/>
    <mergeCell ref="I34:K34"/>
    <mergeCell ref="L34:N34"/>
    <mergeCell ref="O34:Q34"/>
    <mergeCell ref="R34:T34"/>
    <mergeCell ref="U34:W34"/>
    <mergeCell ref="X34:Z34"/>
    <mergeCell ref="AA34:AC34"/>
    <mergeCell ref="AD34:AF34"/>
    <mergeCell ref="AG33:AI33"/>
    <mergeCell ref="AG34:AI34"/>
    <mergeCell ref="I33:K33"/>
    <mergeCell ref="L33:N33"/>
    <mergeCell ref="O33:Q33"/>
    <mergeCell ref="R33:T33"/>
    <mergeCell ref="U33:W33"/>
    <mergeCell ref="X35:Z35"/>
    <mergeCell ref="AA35:AC35"/>
    <mergeCell ref="AD35:AF35"/>
    <mergeCell ref="I36:K36"/>
    <mergeCell ref="L36:N36"/>
    <mergeCell ref="O36:Q36"/>
    <mergeCell ref="R36:T36"/>
    <mergeCell ref="U36:W36"/>
    <mergeCell ref="X36:Z36"/>
    <mergeCell ref="AA36:AC36"/>
    <mergeCell ref="AD36:AF36"/>
    <mergeCell ref="AG35:AI35"/>
    <mergeCell ref="AG36:AI36"/>
    <mergeCell ref="I35:K35"/>
    <mergeCell ref="L35:N35"/>
    <mergeCell ref="O35:Q35"/>
    <mergeCell ref="R35:T35"/>
    <mergeCell ref="U35:W35"/>
    <mergeCell ref="X38:Z38"/>
    <mergeCell ref="AA38:AC38"/>
    <mergeCell ref="AD38:AF38"/>
    <mergeCell ref="I39:K39"/>
    <mergeCell ref="L39:N39"/>
    <mergeCell ref="O39:Q39"/>
    <mergeCell ref="R39:T39"/>
    <mergeCell ref="U39:W39"/>
    <mergeCell ref="X39:Z39"/>
    <mergeCell ref="AA39:AC39"/>
    <mergeCell ref="AD39:AF39"/>
    <mergeCell ref="AG38:AI38"/>
    <mergeCell ref="AG39:AI39"/>
    <mergeCell ref="I38:K38"/>
    <mergeCell ref="L38:N38"/>
    <mergeCell ref="O38:Q38"/>
    <mergeCell ref="R38:T38"/>
    <mergeCell ref="U38:W38"/>
    <mergeCell ref="X40:Z40"/>
    <mergeCell ref="AA40:AC40"/>
    <mergeCell ref="AD40:AF40"/>
    <mergeCell ref="I41:K41"/>
    <mergeCell ref="L41:N41"/>
    <mergeCell ref="O41:Q41"/>
    <mergeCell ref="R41:T41"/>
    <mergeCell ref="U41:W41"/>
    <mergeCell ref="X41:Z41"/>
    <mergeCell ref="AA41:AC41"/>
    <mergeCell ref="AD41:AF41"/>
    <mergeCell ref="AG40:AI40"/>
    <mergeCell ref="AG41:AI41"/>
    <mergeCell ref="I40:K40"/>
    <mergeCell ref="L40:N40"/>
    <mergeCell ref="O40:Q40"/>
    <mergeCell ref="R40:T40"/>
    <mergeCell ref="U40:W40"/>
    <mergeCell ref="X42:Z42"/>
    <mergeCell ref="AA42:AC42"/>
    <mergeCell ref="AD42:AF42"/>
    <mergeCell ref="I43:K43"/>
    <mergeCell ref="L43:N43"/>
    <mergeCell ref="O43:Q43"/>
    <mergeCell ref="R43:T43"/>
    <mergeCell ref="U43:W43"/>
    <mergeCell ref="X43:Z43"/>
    <mergeCell ref="AA43:AC43"/>
    <mergeCell ref="AD43:AF43"/>
    <mergeCell ref="AG42:AI42"/>
    <mergeCell ref="AG43:AI43"/>
    <mergeCell ref="I42:K42"/>
    <mergeCell ref="L42:N42"/>
    <mergeCell ref="O42:Q42"/>
    <mergeCell ref="R42:T42"/>
    <mergeCell ref="U42:W42"/>
    <mergeCell ref="X45:Z45"/>
    <mergeCell ref="AA45:AC45"/>
    <mergeCell ref="AD45:AF45"/>
    <mergeCell ref="I46:K46"/>
    <mergeCell ref="L46:N46"/>
    <mergeCell ref="O46:Q46"/>
    <mergeCell ref="R46:T46"/>
    <mergeCell ref="U46:W46"/>
    <mergeCell ref="X46:Z46"/>
    <mergeCell ref="AA46:AC46"/>
    <mergeCell ref="AD46:AF46"/>
    <mergeCell ref="AG45:AI45"/>
    <mergeCell ref="AG46:AI46"/>
    <mergeCell ref="I45:K45"/>
    <mergeCell ref="L45:N45"/>
    <mergeCell ref="O45:Q45"/>
    <mergeCell ref="R45:T45"/>
    <mergeCell ref="U45:W45"/>
    <mergeCell ref="X48:Z48"/>
    <mergeCell ref="AA48:AC48"/>
    <mergeCell ref="AD48:AF48"/>
    <mergeCell ref="I50:K50"/>
    <mergeCell ref="L50:N50"/>
    <mergeCell ref="O50:Q50"/>
    <mergeCell ref="R50:T50"/>
    <mergeCell ref="U50:W50"/>
    <mergeCell ref="X50:Z50"/>
    <mergeCell ref="AA50:AC50"/>
    <mergeCell ref="AD50:AF50"/>
    <mergeCell ref="AG48:AI48"/>
    <mergeCell ref="AG50:AI50"/>
    <mergeCell ref="I48:K48"/>
    <mergeCell ref="L48:N48"/>
    <mergeCell ref="O48:Q48"/>
    <mergeCell ref="R48:T48"/>
    <mergeCell ref="U48:W48"/>
    <mergeCell ref="X51:Z51"/>
    <mergeCell ref="AA51:AC51"/>
    <mergeCell ref="AD51:AF51"/>
    <mergeCell ref="I53:K53"/>
    <mergeCell ref="L53:N53"/>
    <mergeCell ref="O53:Q53"/>
    <mergeCell ref="R53:T53"/>
    <mergeCell ref="U53:W53"/>
    <mergeCell ref="X53:Z53"/>
    <mergeCell ref="AA53:AC53"/>
    <mergeCell ref="AD53:AF53"/>
    <mergeCell ref="AG51:AI51"/>
    <mergeCell ref="AG53:AI53"/>
    <mergeCell ref="I51:K51"/>
    <mergeCell ref="L51:N51"/>
    <mergeCell ref="O51:Q51"/>
    <mergeCell ref="R51:T51"/>
    <mergeCell ref="U51:W51"/>
    <mergeCell ref="X54:Z54"/>
    <mergeCell ref="AA54:AC54"/>
    <mergeCell ref="AD54:AF54"/>
    <mergeCell ref="I55:K55"/>
    <mergeCell ref="L55:N55"/>
    <mergeCell ref="O55:Q55"/>
    <mergeCell ref="R55:T55"/>
    <mergeCell ref="U55:W55"/>
    <mergeCell ref="X55:Z55"/>
    <mergeCell ref="AA55:AC55"/>
    <mergeCell ref="AD55:AF55"/>
    <mergeCell ref="AG54:AI54"/>
    <mergeCell ref="AG55:AI55"/>
    <mergeCell ref="I54:K54"/>
    <mergeCell ref="L54:N54"/>
    <mergeCell ref="O54:Q54"/>
    <mergeCell ref="R54:T54"/>
    <mergeCell ref="U54:W54"/>
    <mergeCell ref="X56:Z56"/>
    <mergeCell ref="AA56:AC56"/>
    <mergeCell ref="AD56:AF56"/>
    <mergeCell ref="I58:K58"/>
    <mergeCell ref="L58:N58"/>
    <mergeCell ref="O58:Q58"/>
    <mergeCell ref="R58:T58"/>
    <mergeCell ref="U58:W58"/>
    <mergeCell ref="X58:Z58"/>
    <mergeCell ref="AA58:AC58"/>
    <mergeCell ref="AD58:AF58"/>
    <mergeCell ref="AG56:AI56"/>
    <mergeCell ref="AG58:AI58"/>
    <mergeCell ref="I56:K56"/>
    <mergeCell ref="L56:N56"/>
    <mergeCell ref="O56:Q56"/>
    <mergeCell ref="R56:T56"/>
    <mergeCell ref="U56:W56"/>
    <mergeCell ref="X59:Z59"/>
    <mergeCell ref="AA59:AC59"/>
    <mergeCell ref="AD59:AF59"/>
    <mergeCell ref="I62:K62"/>
    <mergeCell ref="L62:N62"/>
    <mergeCell ref="O62:Q62"/>
    <mergeCell ref="R62:T62"/>
    <mergeCell ref="U62:W62"/>
    <mergeCell ref="X62:Z62"/>
    <mergeCell ref="AA62:AC62"/>
    <mergeCell ref="AD62:AF62"/>
    <mergeCell ref="AG59:AI59"/>
    <mergeCell ref="AG62:AI62"/>
    <mergeCell ref="I59:K59"/>
    <mergeCell ref="L59:N59"/>
    <mergeCell ref="O59:Q59"/>
    <mergeCell ref="R59:T59"/>
    <mergeCell ref="U59:W59"/>
    <mergeCell ref="X64:Z64"/>
    <mergeCell ref="AA64:AC64"/>
    <mergeCell ref="AD64:AF64"/>
    <mergeCell ref="I67:K67"/>
    <mergeCell ref="L67:N67"/>
    <mergeCell ref="O67:Q67"/>
    <mergeCell ref="R67:T67"/>
    <mergeCell ref="U67:W67"/>
    <mergeCell ref="X67:Z67"/>
    <mergeCell ref="AA67:AC67"/>
    <mergeCell ref="AD67:AF67"/>
    <mergeCell ref="AG64:AI64"/>
    <mergeCell ref="AG67:AI67"/>
    <mergeCell ref="I64:K64"/>
    <mergeCell ref="L64:N64"/>
    <mergeCell ref="O64:Q64"/>
    <mergeCell ref="R64:T64"/>
    <mergeCell ref="U64:W64"/>
    <mergeCell ref="X68:Z68"/>
    <mergeCell ref="AA68:AC68"/>
    <mergeCell ref="AD68:AF68"/>
    <mergeCell ref="I69:K69"/>
    <mergeCell ref="L69:N69"/>
    <mergeCell ref="O69:Q69"/>
    <mergeCell ref="R69:T69"/>
    <mergeCell ref="U69:W69"/>
    <mergeCell ref="X69:Z69"/>
    <mergeCell ref="AA69:AC69"/>
    <mergeCell ref="AD69:AF69"/>
    <mergeCell ref="AG68:AI68"/>
    <mergeCell ref="AG69:AI69"/>
    <mergeCell ref="I68:K68"/>
    <mergeCell ref="L68:N68"/>
    <mergeCell ref="O68:Q68"/>
    <mergeCell ref="R68:T68"/>
    <mergeCell ref="U68:W68"/>
    <mergeCell ref="X71:Z71"/>
    <mergeCell ref="AA71:AC71"/>
    <mergeCell ref="AD71:AF71"/>
    <mergeCell ref="I79:K79"/>
    <mergeCell ref="L79:N79"/>
    <mergeCell ref="O79:Q79"/>
    <mergeCell ref="R79:T79"/>
    <mergeCell ref="U79:W79"/>
    <mergeCell ref="X79:Z79"/>
    <mergeCell ref="AA79:AC79"/>
    <mergeCell ref="AD79:AF79"/>
    <mergeCell ref="AG71:AI71"/>
    <mergeCell ref="AG79:AI79"/>
    <mergeCell ref="I71:K71"/>
    <mergeCell ref="L71:N71"/>
    <mergeCell ref="O71:Q71"/>
    <mergeCell ref="R71:T71"/>
    <mergeCell ref="U71:W71"/>
    <mergeCell ref="AG76:AI76"/>
    <mergeCell ref="AD76:AF76"/>
    <mergeCell ref="AA76:AC76"/>
    <mergeCell ref="X76:Z76"/>
    <mergeCell ref="U76:W76"/>
    <mergeCell ref="R76:T76"/>
    <mergeCell ref="O76:Q76"/>
    <mergeCell ref="L76:N76"/>
    <mergeCell ref="I76:K76"/>
    <mergeCell ref="X80:Z80"/>
    <mergeCell ref="AA80:AC80"/>
    <mergeCell ref="AD80:AF80"/>
    <mergeCell ref="I81:K81"/>
    <mergeCell ref="L81:N81"/>
    <mergeCell ref="O81:Q81"/>
    <mergeCell ref="R81:T81"/>
    <mergeCell ref="U81:W81"/>
    <mergeCell ref="X81:Z81"/>
    <mergeCell ref="AA81:AC81"/>
    <mergeCell ref="AD81:AF81"/>
    <mergeCell ref="AG80:AI80"/>
    <mergeCell ref="AG81:AI81"/>
    <mergeCell ref="I80:K80"/>
    <mergeCell ref="L80:N80"/>
    <mergeCell ref="O80:Q80"/>
    <mergeCell ref="R80:T80"/>
    <mergeCell ref="U80:W80"/>
    <mergeCell ref="X82:Z82"/>
    <mergeCell ref="AA82:AC82"/>
    <mergeCell ref="AD82:AF82"/>
    <mergeCell ref="I84:K84"/>
    <mergeCell ref="L84:N84"/>
    <mergeCell ref="O84:Q84"/>
    <mergeCell ref="R84:T84"/>
    <mergeCell ref="U84:W84"/>
    <mergeCell ref="X84:Z84"/>
    <mergeCell ref="AA84:AC84"/>
    <mergeCell ref="AD84:AF84"/>
    <mergeCell ref="AG82:AI82"/>
    <mergeCell ref="AG84:AI84"/>
    <mergeCell ref="I82:K82"/>
    <mergeCell ref="L82:N82"/>
    <mergeCell ref="O82:Q82"/>
    <mergeCell ref="R82:T82"/>
    <mergeCell ref="U82:W82"/>
    <mergeCell ref="X85:Z85"/>
    <mergeCell ref="AA85:AC85"/>
    <mergeCell ref="AD85:AF85"/>
    <mergeCell ref="I86:K86"/>
    <mergeCell ref="L86:N86"/>
    <mergeCell ref="O86:Q86"/>
    <mergeCell ref="R86:T86"/>
    <mergeCell ref="U86:W86"/>
    <mergeCell ref="X86:Z86"/>
    <mergeCell ref="AA86:AC86"/>
    <mergeCell ref="AD86:AF86"/>
    <mergeCell ref="AG85:AI85"/>
    <mergeCell ref="AG86:AI86"/>
    <mergeCell ref="I85:K85"/>
    <mergeCell ref="L85:N85"/>
    <mergeCell ref="O85:Q85"/>
    <mergeCell ref="R85:T85"/>
    <mergeCell ref="U85:W85"/>
    <mergeCell ref="X87:Z87"/>
    <mergeCell ref="AA87:AC87"/>
    <mergeCell ref="AD87:AF87"/>
    <mergeCell ref="I89:K89"/>
    <mergeCell ref="L89:N89"/>
    <mergeCell ref="O89:Q89"/>
    <mergeCell ref="R89:T89"/>
    <mergeCell ref="U89:W89"/>
    <mergeCell ref="X89:Z89"/>
    <mergeCell ref="AA89:AC89"/>
    <mergeCell ref="AD89:AF89"/>
    <mergeCell ref="AG87:AI87"/>
    <mergeCell ref="AG89:AI89"/>
    <mergeCell ref="I87:K87"/>
    <mergeCell ref="L87:N87"/>
    <mergeCell ref="O87:Q87"/>
    <mergeCell ref="R87:T87"/>
    <mergeCell ref="U87:W87"/>
    <mergeCell ref="BN6:BP6"/>
    <mergeCell ref="AJ8:AL8"/>
    <mergeCell ref="AM8:AO8"/>
    <mergeCell ref="AP8:AR8"/>
    <mergeCell ref="AS8:AU8"/>
    <mergeCell ref="AV8:AX8"/>
    <mergeCell ref="AY8:BA8"/>
    <mergeCell ref="BB8:BD8"/>
    <mergeCell ref="BE8:BG8"/>
    <mergeCell ref="BH8:BJ8"/>
    <mergeCell ref="BK8:BM8"/>
    <mergeCell ref="BN8:BP8"/>
    <mergeCell ref="AY6:BA6"/>
    <mergeCell ref="BB6:BD6"/>
    <mergeCell ref="BE6:BG6"/>
    <mergeCell ref="BH6:BJ6"/>
    <mergeCell ref="BK6:BM6"/>
    <mergeCell ref="AJ6:AL6"/>
    <mergeCell ref="AM6:AO6"/>
    <mergeCell ref="AP6:AR6"/>
    <mergeCell ref="AS6:AU6"/>
    <mergeCell ref="AV6:AX6"/>
    <mergeCell ref="AJ7:AL7"/>
    <mergeCell ref="AM7:AO7"/>
    <mergeCell ref="AP7:AR7"/>
    <mergeCell ref="AS7:AU7"/>
    <mergeCell ref="AV7:AX7"/>
    <mergeCell ref="AY7:BA7"/>
    <mergeCell ref="BB7:BD7"/>
    <mergeCell ref="BE7:BG7"/>
    <mergeCell ref="BH7:BJ7"/>
    <mergeCell ref="BK7:BM7"/>
    <mergeCell ref="BN9:BP9"/>
    <mergeCell ref="AJ10:AL10"/>
    <mergeCell ref="AM10:AO10"/>
    <mergeCell ref="AP10:AR10"/>
    <mergeCell ref="AS10:AU10"/>
    <mergeCell ref="AV10:AX10"/>
    <mergeCell ref="AY10:BA10"/>
    <mergeCell ref="BB10:BD10"/>
    <mergeCell ref="BE10:BG10"/>
    <mergeCell ref="BH10:BJ10"/>
    <mergeCell ref="BK10:BM10"/>
    <mergeCell ref="BN10:BP10"/>
    <mergeCell ref="AY9:BA9"/>
    <mergeCell ref="BB9:BD9"/>
    <mergeCell ref="BE9:BG9"/>
    <mergeCell ref="BH9:BJ9"/>
    <mergeCell ref="BK9:BM9"/>
    <mergeCell ref="AJ9:AL9"/>
    <mergeCell ref="AM9:AO9"/>
    <mergeCell ref="AP9:AR9"/>
    <mergeCell ref="AS9:AU9"/>
    <mergeCell ref="AV9:AX9"/>
    <mergeCell ref="BN11:BP11"/>
    <mergeCell ref="AJ12:AL12"/>
    <mergeCell ref="AM12:AO12"/>
    <mergeCell ref="AP12:AR12"/>
    <mergeCell ref="AS12:AU12"/>
    <mergeCell ref="AV12:AX12"/>
    <mergeCell ref="AY12:BA12"/>
    <mergeCell ref="BB12:BD12"/>
    <mergeCell ref="BE12:BG12"/>
    <mergeCell ref="BH12:BJ12"/>
    <mergeCell ref="BK12:BM12"/>
    <mergeCell ref="BN12:BP12"/>
    <mergeCell ref="AY11:BA11"/>
    <mergeCell ref="BB11:BD11"/>
    <mergeCell ref="BE11:BG11"/>
    <mergeCell ref="BH11:BJ11"/>
    <mergeCell ref="BK11:BM11"/>
    <mergeCell ref="AJ11:AL11"/>
    <mergeCell ref="AM11:AO11"/>
    <mergeCell ref="AP11:AR11"/>
    <mergeCell ref="AS11:AU11"/>
    <mergeCell ref="AV11:AX11"/>
    <mergeCell ref="BN14:BP14"/>
    <mergeCell ref="AJ16:AL16"/>
    <mergeCell ref="AM16:AO16"/>
    <mergeCell ref="AP16:AR16"/>
    <mergeCell ref="AS16:AU16"/>
    <mergeCell ref="AV16:AX16"/>
    <mergeCell ref="AY16:BA16"/>
    <mergeCell ref="BB16:BD16"/>
    <mergeCell ref="BE16:BG16"/>
    <mergeCell ref="BH16:BJ16"/>
    <mergeCell ref="BK16:BM16"/>
    <mergeCell ref="BN16:BP16"/>
    <mergeCell ref="AY14:BA14"/>
    <mergeCell ref="BB14:BD14"/>
    <mergeCell ref="BE14:BG14"/>
    <mergeCell ref="BH14:BJ14"/>
    <mergeCell ref="BK14:BM14"/>
    <mergeCell ref="AJ14:AL14"/>
    <mergeCell ref="AM14:AO14"/>
    <mergeCell ref="AP14:AR14"/>
    <mergeCell ref="AS14:AU14"/>
    <mergeCell ref="AV14:AX14"/>
    <mergeCell ref="BN17:BP17"/>
    <mergeCell ref="AJ18:AL18"/>
    <mergeCell ref="AM18:AO18"/>
    <mergeCell ref="AP18:AR18"/>
    <mergeCell ref="AS18:AU18"/>
    <mergeCell ref="AV18:AX18"/>
    <mergeCell ref="AY18:BA18"/>
    <mergeCell ref="BB18:BD18"/>
    <mergeCell ref="BE18:BG18"/>
    <mergeCell ref="BH18:BJ18"/>
    <mergeCell ref="BK18:BM18"/>
    <mergeCell ref="BN18:BP18"/>
    <mergeCell ref="AY17:BA17"/>
    <mergeCell ref="BB17:BD17"/>
    <mergeCell ref="BE17:BG17"/>
    <mergeCell ref="BH17:BJ17"/>
    <mergeCell ref="BK17:BM17"/>
    <mergeCell ref="AJ17:AL17"/>
    <mergeCell ref="AM17:AO17"/>
    <mergeCell ref="AP17:AR17"/>
    <mergeCell ref="AS17:AU17"/>
    <mergeCell ref="AV17:AX17"/>
    <mergeCell ref="BK21:BM21"/>
    <mergeCell ref="AJ21:AL21"/>
    <mergeCell ref="AM21:AO21"/>
    <mergeCell ref="AP21:AR21"/>
    <mergeCell ref="AS21:AU21"/>
    <mergeCell ref="AV21:AX21"/>
    <mergeCell ref="BN19:BP19"/>
    <mergeCell ref="AJ20:AL20"/>
    <mergeCell ref="AM20:AO20"/>
    <mergeCell ref="AP20:AR20"/>
    <mergeCell ref="AS20:AU20"/>
    <mergeCell ref="AV20:AX20"/>
    <mergeCell ref="AY20:BA20"/>
    <mergeCell ref="BB20:BD20"/>
    <mergeCell ref="BE20:BG20"/>
    <mergeCell ref="BH20:BJ20"/>
    <mergeCell ref="BK20:BM20"/>
    <mergeCell ref="BN20:BP20"/>
    <mergeCell ref="AY19:BA19"/>
    <mergeCell ref="BB19:BD19"/>
    <mergeCell ref="BE19:BG19"/>
    <mergeCell ref="BH19:BJ19"/>
    <mergeCell ref="BK19:BM19"/>
    <mergeCell ref="AJ19:AL19"/>
    <mergeCell ref="AM19:AO19"/>
    <mergeCell ref="AP19:AR19"/>
    <mergeCell ref="AS19:AU19"/>
    <mergeCell ref="AV19:AX19"/>
    <mergeCell ref="AJ30:AL30"/>
    <mergeCell ref="AM30:AO30"/>
    <mergeCell ref="AP30:AR30"/>
    <mergeCell ref="AS30:AU30"/>
    <mergeCell ref="AV30:AX30"/>
    <mergeCell ref="AY30:BA30"/>
    <mergeCell ref="BB30:BD30"/>
    <mergeCell ref="BE30:BG30"/>
    <mergeCell ref="BH30:BJ30"/>
    <mergeCell ref="BK30:BM30"/>
    <mergeCell ref="BN30:BP30"/>
    <mergeCell ref="BB23:BC23"/>
    <mergeCell ref="BE23:BF23"/>
    <mergeCell ref="BH23:BI23"/>
    <mergeCell ref="BK23:BL23"/>
    <mergeCell ref="BN23:BO23"/>
    <mergeCell ref="BN21:BP21"/>
    <mergeCell ref="AJ22:AL22"/>
    <mergeCell ref="AM22:AO22"/>
    <mergeCell ref="AP22:AR22"/>
    <mergeCell ref="AS22:AU22"/>
    <mergeCell ref="AV22:AX22"/>
    <mergeCell ref="AY22:BA22"/>
    <mergeCell ref="BB22:BD22"/>
    <mergeCell ref="BE22:BG22"/>
    <mergeCell ref="BH22:BJ22"/>
    <mergeCell ref="BK22:BM22"/>
    <mergeCell ref="BN22:BP22"/>
    <mergeCell ref="AY21:BA21"/>
    <mergeCell ref="BB21:BD21"/>
    <mergeCell ref="BE21:BG21"/>
    <mergeCell ref="BH21:BJ21"/>
    <mergeCell ref="BN31:BP31"/>
    <mergeCell ref="AJ32:AL32"/>
    <mergeCell ref="AM32:AO32"/>
    <mergeCell ref="AP32:AR32"/>
    <mergeCell ref="AS32:AU32"/>
    <mergeCell ref="AV32:AX32"/>
    <mergeCell ref="AY32:BA32"/>
    <mergeCell ref="BB32:BD32"/>
    <mergeCell ref="BE32:BG32"/>
    <mergeCell ref="BH32:BJ32"/>
    <mergeCell ref="BK32:BM32"/>
    <mergeCell ref="BN32:BP32"/>
    <mergeCell ref="AY31:BA31"/>
    <mergeCell ref="BB31:BD31"/>
    <mergeCell ref="BE31:BG31"/>
    <mergeCell ref="BH31:BJ31"/>
    <mergeCell ref="BK31:BM31"/>
    <mergeCell ref="AJ31:AL31"/>
    <mergeCell ref="AM31:AO31"/>
    <mergeCell ref="AP31:AR31"/>
    <mergeCell ref="AS31:AU31"/>
    <mergeCell ref="AV31:AX31"/>
    <mergeCell ref="BN33:BP33"/>
    <mergeCell ref="AJ34:AL34"/>
    <mergeCell ref="AM34:AO34"/>
    <mergeCell ref="AP34:AR34"/>
    <mergeCell ref="AS34:AU34"/>
    <mergeCell ref="AV34:AX34"/>
    <mergeCell ref="AY34:BA34"/>
    <mergeCell ref="BB34:BD34"/>
    <mergeCell ref="BE34:BG34"/>
    <mergeCell ref="BH34:BJ34"/>
    <mergeCell ref="BK34:BM34"/>
    <mergeCell ref="BN34:BP34"/>
    <mergeCell ref="AY33:BA33"/>
    <mergeCell ref="BB33:BD33"/>
    <mergeCell ref="BE33:BG33"/>
    <mergeCell ref="BH33:BJ33"/>
    <mergeCell ref="BK33:BM33"/>
    <mergeCell ref="AJ33:AL33"/>
    <mergeCell ref="AM33:AO33"/>
    <mergeCell ref="AP33:AR33"/>
    <mergeCell ref="AS33:AU33"/>
    <mergeCell ref="AV33:AX33"/>
    <mergeCell ref="BN35:BP35"/>
    <mergeCell ref="AJ36:AL36"/>
    <mergeCell ref="AM36:AO36"/>
    <mergeCell ref="AP36:AR36"/>
    <mergeCell ref="AS36:AU36"/>
    <mergeCell ref="AV36:AX36"/>
    <mergeCell ref="AY36:BA36"/>
    <mergeCell ref="BB36:BD36"/>
    <mergeCell ref="BE36:BG36"/>
    <mergeCell ref="BH36:BJ36"/>
    <mergeCell ref="BK36:BM36"/>
    <mergeCell ref="BN36:BP36"/>
    <mergeCell ref="AY35:BA35"/>
    <mergeCell ref="BB35:BD35"/>
    <mergeCell ref="BE35:BG35"/>
    <mergeCell ref="BH35:BJ35"/>
    <mergeCell ref="BK35:BM35"/>
    <mergeCell ref="AJ35:AL35"/>
    <mergeCell ref="AM35:AO35"/>
    <mergeCell ref="AP35:AR35"/>
    <mergeCell ref="AS35:AU35"/>
    <mergeCell ref="AV35:AX35"/>
    <mergeCell ref="BN38:BP38"/>
    <mergeCell ref="AJ39:AL39"/>
    <mergeCell ref="AM39:AO39"/>
    <mergeCell ref="AP39:AR39"/>
    <mergeCell ref="AS39:AU39"/>
    <mergeCell ref="AV39:AX39"/>
    <mergeCell ref="AY39:BA39"/>
    <mergeCell ref="BB39:BD39"/>
    <mergeCell ref="BE39:BG39"/>
    <mergeCell ref="BH39:BJ39"/>
    <mergeCell ref="BK39:BM39"/>
    <mergeCell ref="BN39:BP39"/>
    <mergeCell ref="AY38:BA38"/>
    <mergeCell ref="BB38:BD38"/>
    <mergeCell ref="BE38:BG38"/>
    <mergeCell ref="BH38:BJ38"/>
    <mergeCell ref="BK38:BM38"/>
    <mergeCell ref="AJ38:AL38"/>
    <mergeCell ref="AM38:AO38"/>
    <mergeCell ref="AP38:AR38"/>
    <mergeCell ref="AS38:AU38"/>
    <mergeCell ref="AV38:AX38"/>
    <mergeCell ref="BN40:BP40"/>
    <mergeCell ref="AJ41:AL41"/>
    <mergeCell ref="AM41:AO41"/>
    <mergeCell ref="AP41:AR41"/>
    <mergeCell ref="AS41:AU41"/>
    <mergeCell ref="AV41:AX41"/>
    <mergeCell ref="AY41:BA41"/>
    <mergeCell ref="BB41:BD41"/>
    <mergeCell ref="BE41:BG41"/>
    <mergeCell ref="BH41:BJ41"/>
    <mergeCell ref="BK41:BM41"/>
    <mergeCell ref="BN41:BP41"/>
    <mergeCell ref="AY40:BA40"/>
    <mergeCell ref="BB40:BD40"/>
    <mergeCell ref="BE40:BG40"/>
    <mergeCell ref="BH40:BJ40"/>
    <mergeCell ref="BK40:BM40"/>
    <mergeCell ref="AJ40:AL40"/>
    <mergeCell ref="AM40:AO40"/>
    <mergeCell ref="AP40:AR40"/>
    <mergeCell ref="AS40:AU40"/>
    <mergeCell ref="AV40:AX40"/>
    <mergeCell ref="BN42:BP42"/>
    <mergeCell ref="AJ43:AL43"/>
    <mergeCell ref="AM43:AO43"/>
    <mergeCell ref="AP43:AR43"/>
    <mergeCell ref="AS43:AU43"/>
    <mergeCell ref="AV43:AX43"/>
    <mergeCell ref="AY43:BA43"/>
    <mergeCell ref="BB43:BD43"/>
    <mergeCell ref="BE43:BG43"/>
    <mergeCell ref="BH43:BJ43"/>
    <mergeCell ref="BK43:BM43"/>
    <mergeCell ref="BN43:BP43"/>
    <mergeCell ref="AY42:BA42"/>
    <mergeCell ref="BB42:BD42"/>
    <mergeCell ref="BE42:BG42"/>
    <mergeCell ref="BH42:BJ42"/>
    <mergeCell ref="BK42:BM42"/>
    <mergeCell ref="AJ42:AL42"/>
    <mergeCell ref="AM42:AO42"/>
    <mergeCell ref="AP42:AR42"/>
    <mergeCell ref="AS42:AU42"/>
    <mergeCell ref="AV42:AX42"/>
    <mergeCell ref="BN45:BP45"/>
    <mergeCell ref="AJ46:AL46"/>
    <mergeCell ref="AM46:AO46"/>
    <mergeCell ref="AP46:AR46"/>
    <mergeCell ref="AS46:AU46"/>
    <mergeCell ref="AV46:AX46"/>
    <mergeCell ref="AY46:BA46"/>
    <mergeCell ref="BB46:BD46"/>
    <mergeCell ref="BE46:BG46"/>
    <mergeCell ref="BH46:BJ46"/>
    <mergeCell ref="BK46:BM46"/>
    <mergeCell ref="BN46:BP46"/>
    <mergeCell ref="AY45:BA45"/>
    <mergeCell ref="BB45:BD45"/>
    <mergeCell ref="BE45:BG45"/>
    <mergeCell ref="BH45:BJ45"/>
    <mergeCell ref="BK45:BM45"/>
    <mergeCell ref="AJ45:AL45"/>
    <mergeCell ref="AM45:AO45"/>
    <mergeCell ref="AP45:AR45"/>
    <mergeCell ref="AS45:AU45"/>
    <mergeCell ref="AV45:AX45"/>
    <mergeCell ref="BN48:BP48"/>
    <mergeCell ref="AJ50:AL50"/>
    <mergeCell ref="AM50:AO50"/>
    <mergeCell ref="AP50:AR50"/>
    <mergeCell ref="AS50:AU50"/>
    <mergeCell ref="AV50:AX50"/>
    <mergeCell ref="AY50:BA50"/>
    <mergeCell ref="BB50:BD50"/>
    <mergeCell ref="BE50:BG50"/>
    <mergeCell ref="BH50:BJ50"/>
    <mergeCell ref="BK50:BM50"/>
    <mergeCell ref="BN50:BP50"/>
    <mergeCell ref="AY48:BA48"/>
    <mergeCell ref="BB48:BD48"/>
    <mergeCell ref="BE48:BG48"/>
    <mergeCell ref="BH48:BJ48"/>
    <mergeCell ref="BK48:BM48"/>
    <mergeCell ref="AJ48:AL48"/>
    <mergeCell ref="AM48:AO48"/>
    <mergeCell ref="AP48:AR48"/>
    <mergeCell ref="AS48:AU48"/>
    <mergeCell ref="AV48:AX48"/>
    <mergeCell ref="BN51:BP51"/>
    <mergeCell ref="AJ53:AL53"/>
    <mergeCell ref="AM53:AO53"/>
    <mergeCell ref="AP53:AR53"/>
    <mergeCell ref="AS53:AU53"/>
    <mergeCell ref="AV53:AX53"/>
    <mergeCell ref="AY53:BA53"/>
    <mergeCell ref="BB53:BD53"/>
    <mergeCell ref="BE53:BG53"/>
    <mergeCell ref="BH53:BJ53"/>
    <mergeCell ref="BK53:BM53"/>
    <mergeCell ref="BN53:BP53"/>
    <mergeCell ref="AY51:BA51"/>
    <mergeCell ref="BB51:BD51"/>
    <mergeCell ref="BE51:BG51"/>
    <mergeCell ref="BH51:BJ51"/>
    <mergeCell ref="BK51:BM51"/>
    <mergeCell ref="AJ51:AL51"/>
    <mergeCell ref="AM51:AO51"/>
    <mergeCell ref="AP51:AR51"/>
    <mergeCell ref="AS51:AU51"/>
    <mergeCell ref="AV51:AX51"/>
    <mergeCell ref="BN54:BP54"/>
    <mergeCell ref="AJ55:AL55"/>
    <mergeCell ref="AM55:AO55"/>
    <mergeCell ref="AP55:AR55"/>
    <mergeCell ref="AS55:AU55"/>
    <mergeCell ref="AV55:AX55"/>
    <mergeCell ref="AY55:BA55"/>
    <mergeCell ref="BB55:BD55"/>
    <mergeCell ref="BE55:BG55"/>
    <mergeCell ref="BH55:BJ55"/>
    <mergeCell ref="BK55:BM55"/>
    <mergeCell ref="BN55:BP55"/>
    <mergeCell ref="AY54:BA54"/>
    <mergeCell ref="BB54:BD54"/>
    <mergeCell ref="BE54:BG54"/>
    <mergeCell ref="BH54:BJ54"/>
    <mergeCell ref="BK54:BM54"/>
    <mergeCell ref="AJ54:AL54"/>
    <mergeCell ref="AM54:AO54"/>
    <mergeCell ref="AP54:AR54"/>
    <mergeCell ref="AS54:AU54"/>
    <mergeCell ref="AV54:AX54"/>
    <mergeCell ref="BN56:BP56"/>
    <mergeCell ref="AJ58:AL58"/>
    <mergeCell ref="AM58:AO58"/>
    <mergeCell ref="AP58:AR58"/>
    <mergeCell ref="AS58:AU58"/>
    <mergeCell ref="AV58:AX58"/>
    <mergeCell ref="AY58:BA58"/>
    <mergeCell ref="BB58:BD58"/>
    <mergeCell ref="BE58:BG58"/>
    <mergeCell ref="BH58:BJ58"/>
    <mergeCell ref="BK58:BM58"/>
    <mergeCell ref="BN58:BP58"/>
    <mergeCell ref="AY56:BA56"/>
    <mergeCell ref="BB56:BD56"/>
    <mergeCell ref="BE56:BG56"/>
    <mergeCell ref="BH56:BJ56"/>
    <mergeCell ref="BK56:BM56"/>
    <mergeCell ref="AJ56:AL56"/>
    <mergeCell ref="AM56:AO56"/>
    <mergeCell ref="AP56:AR56"/>
    <mergeCell ref="AS56:AU56"/>
    <mergeCell ref="AV56:AX56"/>
    <mergeCell ref="BN59:BP59"/>
    <mergeCell ref="AJ62:AL62"/>
    <mergeCell ref="AM62:AO62"/>
    <mergeCell ref="AP62:AR62"/>
    <mergeCell ref="AS62:AU62"/>
    <mergeCell ref="AV62:AX62"/>
    <mergeCell ref="AY62:BA62"/>
    <mergeCell ref="BB62:BD62"/>
    <mergeCell ref="BE62:BG62"/>
    <mergeCell ref="BH62:BJ62"/>
    <mergeCell ref="BK62:BM62"/>
    <mergeCell ref="BN62:BP62"/>
    <mergeCell ref="AY59:BA59"/>
    <mergeCell ref="BB59:BD59"/>
    <mergeCell ref="BE59:BG59"/>
    <mergeCell ref="BH59:BJ59"/>
    <mergeCell ref="BK59:BM59"/>
    <mergeCell ref="AJ59:AL59"/>
    <mergeCell ref="AM59:AO59"/>
    <mergeCell ref="AP59:AR59"/>
    <mergeCell ref="AS59:AU59"/>
    <mergeCell ref="AV59:AX59"/>
    <mergeCell ref="BN64:BP64"/>
    <mergeCell ref="AJ67:AL67"/>
    <mergeCell ref="AM67:AO67"/>
    <mergeCell ref="AP67:AR67"/>
    <mergeCell ref="AS67:AU67"/>
    <mergeCell ref="AV67:AX67"/>
    <mergeCell ref="AY67:BA67"/>
    <mergeCell ref="BB67:BD67"/>
    <mergeCell ref="BE67:BG67"/>
    <mergeCell ref="BH67:BJ67"/>
    <mergeCell ref="BK67:BM67"/>
    <mergeCell ref="BN67:BP67"/>
    <mergeCell ref="AY64:BA64"/>
    <mergeCell ref="BB64:BD64"/>
    <mergeCell ref="BE64:BG64"/>
    <mergeCell ref="BH64:BJ64"/>
    <mergeCell ref="BK64:BM64"/>
    <mergeCell ref="AJ64:AL64"/>
    <mergeCell ref="AM64:AO64"/>
    <mergeCell ref="AP64:AR64"/>
    <mergeCell ref="AS64:AU64"/>
    <mergeCell ref="AV64:AX64"/>
    <mergeCell ref="BN68:BP68"/>
    <mergeCell ref="AJ69:AL69"/>
    <mergeCell ref="AM69:AO69"/>
    <mergeCell ref="AP69:AR69"/>
    <mergeCell ref="AS69:AU69"/>
    <mergeCell ref="AV69:AX69"/>
    <mergeCell ref="AY69:BA69"/>
    <mergeCell ref="BB69:BD69"/>
    <mergeCell ref="BE69:BG69"/>
    <mergeCell ref="BH69:BJ69"/>
    <mergeCell ref="BK69:BM69"/>
    <mergeCell ref="BN69:BP69"/>
    <mergeCell ref="AY68:BA68"/>
    <mergeCell ref="BB68:BD68"/>
    <mergeCell ref="BE68:BG68"/>
    <mergeCell ref="BH68:BJ68"/>
    <mergeCell ref="BK68:BM68"/>
    <mergeCell ref="AJ68:AL68"/>
    <mergeCell ref="AM68:AO68"/>
    <mergeCell ref="AP68:AR68"/>
    <mergeCell ref="AS68:AU68"/>
    <mergeCell ref="AV68:AX68"/>
    <mergeCell ref="BN71:BP71"/>
    <mergeCell ref="AJ79:AL79"/>
    <mergeCell ref="AM79:AO79"/>
    <mergeCell ref="AP79:AR79"/>
    <mergeCell ref="AS79:AU79"/>
    <mergeCell ref="AV79:AX79"/>
    <mergeCell ref="AY79:BA79"/>
    <mergeCell ref="BB79:BD79"/>
    <mergeCell ref="BE79:BG79"/>
    <mergeCell ref="BH79:BJ79"/>
    <mergeCell ref="BK79:BM79"/>
    <mergeCell ref="BN79:BP79"/>
    <mergeCell ref="AY71:BA71"/>
    <mergeCell ref="BB71:BD71"/>
    <mergeCell ref="BE71:BG71"/>
    <mergeCell ref="BH71:BJ71"/>
    <mergeCell ref="BK71:BM71"/>
    <mergeCell ref="AJ71:AL71"/>
    <mergeCell ref="AM71:AO71"/>
    <mergeCell ref="AP71:AR71"/>
    <mergeCell ref="AS71:AU71"/>
    <mergeCell ref="AV71:AX71"/>
    <mergeCell ref="AM76:AO76"/>
    <mergeCell ref="AJ76:AL76"/>
    <mergeCell ref="BN80:BP80"/>
    <mergeCell ref="AJ81:AL81"/>
    <mergeCell ref="AM81:AO81"/>
    <mergeCell ref="AP81:AR81"/>
    <mergeCell ref="AS81:AU81"/>
    <mergeCell ref="AV81:AX81"/>
    <mergeCell ref="AY81:BA81"/>
    <mergeCell ref="BB81:BD81"/>
    <mergeCell ref="BE81:BG81"/>
    <mergeCell ref="BH81:BJ81"/>
    <mergeCell ref="BK81:BM81"/>
    <mergeCell ref="BN81:BP81"/>
    <mergeCell ref="AY80:BA80"/>
    <mergeCell ref="BB80:BD80"/>
    <mergeCell ref="BE80:BG80"/>
    <mergeCell ref="BH80:BJ80"/>
    <mergeCell ref="BK80:BM80"/>
    <mergeCell ref="AJ80:AL80"/>
    <mergeCell ref="AM80:AO80"/>
    <mergeCell ref="AP80:AR80"/>
    <mergeCell ref="AS80:AU80"/>
    <mergeCell ref="AV80:AX80"/>
    <mergeCell ref="BN82:BP82"/>
    <mergeCell ref="AJ84:AL84"/>
    <mergeCell ref="AM84:AO84"/>
    <mergeCell ref="AP84:AR84"/>
    <mergeCell ref="AS84:AU84"/>
    <mergeCell ref="AV84:AX84"/>
    <mergeCell ref="AY84:BA84"/>
    <mergeCell ref="BB84:BD84"/>
    <mergeCell ref="BE84:BG84"/>
    <mergeCell ref="BH84:BJ84"/>
    <mergeCell ref="BK84:BM84"/>
    <mergeCell ref="BN84:BP84"/>
    <mergeCell ref="AY82:BA82"/>
    <mergeCell ref="BB82:BD82"/>
    <mergeCell ref="BE82:BG82"/>
    <mergeCell ref="BH82:BJ82"/>
    <mergeCell ref="BK82:BM82"/>
    <mergeCell ref="AJ82:AL82"/>
    <mergeCell ref="AM82:AO82"/>
    <mergeCell ref="AP82:AR82"/>
    <mergeCell ref="AS82:AU82"/>
    <mergeCell ref="AV82:AX82"/>
    <mergeCell ref="AS87:AU87"/>
    <mergeCell ref="AV87:AX87"/>
    <mergeCell ref="BN85:BP85"/>
    <mergeCell ref="AJ86:AL86"/>
    <mergeCell ref="AM86:AO86"/>
    <mergeCell ref="AP86:AR86"/>
    <mergeCell ref="AS86:AU86"/>
    <mergeCell ref="AV86:AX86"/>
    <mergeCell ref="AY86:BA86"/>
    <mergeCell ref="BB86:BD86"/>
    <mergeCell ref="BE86:BG86"/>
    <mergeCell ref="BH86:BJ86"/>
    <mergeCell ref="BK86:BM86"/>
    <mergeCell ref="BN86:BP86"/>
    <mergeCell ref="AY85:BA85"/>
    <mergeCell ref="BB85:BD85"/>
    <mergeCell ref="BE85:BG85"/>
    <mergeCell ref="BH85:BJ85"/>
    <mergeCell ref="BK85:BM85"/>
    <mergeCell ref="AJ85:AL85"/>
    <mergeCell ref="AM85:AO85"/>
    <mergeCell ref="AP85:AR85"/>
    <mergeCell ref="AS85:AU85"/>
    <mergeCell ref="AV85:AX85"/>
    <mergeCell ref="BQ9:BS9"/>
    <mergeCell ref="BT9:BV9"/>
    <mergeCell ref="BW9:BY9"/>
    <mergeCell ref="BQ10:BS10"/>
    <mergeCell ref="BT10:BV10"/>
    <mergeCell ref="BW10:BY10"/>
    <mergeCell ref="BQ6:BS6"/>
    <mergeCell ref="BT6:BV6"/>
    <mergeCell ref="BW6:BY6"/>
    <mergeCell ref="BQ8:BS8"/>
    <mergeCell ref="BT8:BV8"/>
    <mergeCell ref="BW8:BY8"/>
    <mergeCell ref="BN87:BP87"/>
    <mergeCell ref="AJ89:AL89"/>
    <mergeCell ref="AM89:AO89"/>
    <mergeCell ref="AP89:AR89"/>
    <mergeCell ref="AS89:AU89"/>
    <mergeCell ref="AV89:AX89"/>
    <mergeCell ref="AY89:BA89"/>
    <mergeCell ref="BB89:BD89"/>
    <mergeCell ref="BE89:BG89"/>
    <mergeCell ref="BH89:BJ89"/>
    <mergeCell ref="BK89:BM89"/>
    <mergeCell ref="BN89:BP89"/>
    <mergeCell ref="AY87:BA87"/>
    <mergeCell ref="BB87:BD87"/>
    <mergeCell ref="BE87:BG87"/>
    <mergeCell ref="BH87:BJ87"/>
    <mergeCell ref="BK87:BM87"/>
    <mergeCell ref="AJ87:AL87"/>
    <mergeCell ref="AM87:AO87"/>
    <mergeCell ref="AP87:AR87"/>
    <mergeCell ref="BQ17:BS17"/>
    <mergeCell ref="BT17:BV17"/>
    <mergeCell ref="BW17:BY17"/>
    <mergeCell ref="BQ18:BS18"/>
    <mergeCell ref="BT18:BV18"/>
    <mergeCell ref="BW18:BY18"/>
    <mergeCell ref="BQ14:BS14"/>
    <mergeCell ref="BT14:BV14"/>
    <mergeCell ref="BW14:BY14"/>
    <mergeCell ref="BQ16:BS16"/>
    <mergeCell ref="BT16:BV16"/>
    <mergeCell ref="BW16:BY16"/>
    <mergeCell ref="BQ11:BS11"/>
    <mergeCell ref="BT11:BV11"/>
    <mergeCell ref="BW11:BY11"/>
    <mergeCell ref="BQ12:BS12"/>
    <mergeCell ref="BT12:BV12"/>
    <mergeCell ref="BW12:BY12"/>
    <mergeCell ref="BQ30:BS30"/>
    <mergeCell ref="BT30:BV30"/>
    <mergeCell ref="BW30:BY30"/>
    <mergeCell ref="BQ23:BR23"/>
    <mergeCell ref="BT23:BU23"/>
    <mergeCell ref="BW23:BX23"/>
    <mergeCell ref="BQ21:BS21"/>
    <mergeCell ref="BT21:BV21"/>
    <mergeCell ref="BW21:BY21"/>
    <mergeCell ref="BQ22:BS22"/>
    <mergeCell ref="BT22:BV22"/>
    <mergeCell ref="BW22:BY22"/>
    <mergeCell ref="BQ19:BS19"/>
    <mergeCell ref="BT19:BV19"/>
    <mergeCell ref="BW19:BY19"/>
    <mergeCell ref="BQ20:BS20"/>
    <mergeCell ref="BT20:BV20"/>
    <mergeCell ref="BW20:BY20"/>
    <mergeCell ref="BW28:BX28"/>
    <mergeCell ref="BQ35:BS35"/>
    <mergeCell ref="BT35:BV35"/>
    <mergeCell ref="BW35:BY35"/>
    <mergeCell ref="BQ36:BS36"/>
    <mergeCell ref="BT36:BV36"/>
    <mergeCell ref="BW36:BY36"/>
    <mergeCell ref="BQ33:BS33"/>
    <mergeCell ref="BT33:BV33"/>
    <mergeCell ref="BW33:BY33"/>
    <mergeCell ref="BQ34:BS34"/>
    <mergeCell ref="BT34:BV34"/>
    <mergeCell ref="BW34:BY34"/>
    <mergeCell ref="BQ31:BS31"/>
    <mergeCell ref="BT31:BV31"/>
    <mergeCell ref="BW31:BY31"/>
    <mergeCell ref="BQ32:BS32"/>
    <mergeCell ref="BT32:BV32"/>
    <mergeCell ref="BW32:BY32"/>
    <mergeCell ref="BQ42:BS42"/>
    <mergeCell ref="BT42:BV42"/>
    <mergeCell ref="BW42:BY42"/>
    <mergeCell ref="BQ43:BS43"/>
    <mergeCell ref="BT43:BV43"/>
    <mergeCell ref="BW43:BY43"/>
    <mergeCell ref="BQ40:BS40"/>
    <mergeCell ref="BT40:BV40"/>
    <mergeCell ref="BW40:BY40"/>
    <mergeCell ref="BQ41:BS41"/>
    <mergeCell ref="BT41:BV41"/>
    <mergeCell ref="BW41:BY41"/>
    <mergeCell ref="BQ38:BS38"/>
    <mergeCell ref="BT38:BV38"/>
    <mergeCell ref="BW38:BY38"/>
    <mergeCell ref="BQ39:BS39"/>
    <mergeCell ref="BT39:BV39"/>
    <mergeCell ref="BW39:BY39"/>
    <mergeCell ref="BQ51:BS51"/>
    <mergeCell ref="BT51:BV51"/>
    <mergeCell ref="BW51:BY51"/>
    <mergeCell ref="BQ53:BS53"/>
    <mergeCell ref="BT53:BV53"/>
    <mergeCell ref="BW53:BY53"/>
    <mergeCell ref="BQ48:BS48"/>
    <mergeCell ref="BT48:BV48"/>
    <mergeCell ref="BW48:BY48"/>
    <mergeCell ref="BQ50:BS50"/>
    <mergeCell ref="BT50:BV50"/>
    <mergeCell ref="BW50:BY50"/>
    <mergeCell ref="BQ45:BS45"/>
    <mergeCell ref="BT45:BV45"/>
    <mergeCell ref="BW45:BY45"/>
    <mergeCell ref="BQ46:BS46"/>
    <mergeCell ref="BT46:BV46"/>
    <mergeCell ref="BW46:BY46"/>
    <mergeCell ref="BQ59:BS59"/>
    <mergeCell ref="BT59:BV59"/>
    <mergeCell ref="BW59:BY59"/>
    <mergeCell ref="BQ62:BS62"/>
    <mergeCell ref="BT62:BV62"/>
    <mergeCell ref="BW62:BY62"/>
    <mergeCell ref="BQ56:BS56"/>
    <mergeCell ref="BT56:BV56"/>
    <mergeCell ref="BW56:BY56"/>
    <mergeCell ref="BQ58:BS58"/>
    <mergeCell ref="BT58:BV58"/>
    <mergeCell ref="BW58:BY58"/>
    <mergeCell ref="BQ54:BS54"/>
    <mergeCell ref="BT54:BV54"/>
    <mergeCell ref="BW54:BY54"/>
    <mergeCell ref="BQ55:BS55"/>
    <mergeCell ref="BT55:BV55"/>
    <mergeCell ref="BW55:BY55"/>
    <mergeCell ref="BT71:BV71"/>
    <mergeCell ref="BW71:BY71"/>
    <mergeCell ref="BQ79:BS79"/>
    <mergeCell ref="BT79:BV79"/>
    <mergeCell ref="BW79:BY79"/>
    <mergeCell ref="BQ68:BS68"/>
    <mergeCell ref="BT68:BV68"/>
    <mergeCell ref="BW68:BY68"/>
    <mergeCell ref="BQ69:BS69"/>
    <mergeCell ref="BT69:BV69"/>
    <mergeCell ref="BW69:BY69"/>
    <mergeCell ref="BQ64:BS64"/>
    <mergeCell ref="BT64:BV64"/>
    <mergeCell ref="BW64:BY64"/>
    <mergeCell ref="BQ67:BS67"/>
    <mergeCell ref="BT67:BV67"/>
    <mergeCell ref="BW67:BY67"/>
    <mergeCell ref="BZ6:CB6"/>
    <mergeCell ref="BZ8:CB8"/>
    <mergeCell ref="BZ9:CB9"/>
    <mergeCell ref="BZ10:CB10"/>
    <mergeCell ref="BZ11:CB11"/>
    <mergeCell ref="BZ23:CA23"/>
    <mergeCell ref="BZ28:CA28"/>
    <mergeCell ref="BQ87:BS87"/>
    <mergeCell ref="BT87:BV87"/>
    <mergeCell ref="BW87:BY87"/>
    <mergeCell ref="BQ89:BS89"/>
    <mergeCell ref="BT89:BV89"/>
    <mergeCell ref="BW89:BY89"/>
    <mergeCell ref="BQ85:BS85"/>
    <mergeCell ref="BT85:BV85"/>
    <mergeCell ref="BW85:BY85"/>
    <mergeCell ref="BQ86:BS86"/>
    <mergeCell ref="BT86:BV86"/>
    <mergeCell ref="BW86:BY86"/>
    <mergeCell ref="BQ82:BS82"/>
    <mergeCell ref="BT82:BV82"/>
    <mergeCell ref="BW82:BY82"/>
    <mergeCell ref="BQ84:BS84"/>
    <mergeCell ref="BT84:BV84"/>
    <mergeCell ref="BW84:BY84"/>
    <mergeCell ref="BQ80:BS80"/>
    <mergeCell ref="BT80:BV80"/>
    <mergeCell ref="BW80:BY80"/>
    <mergeCell ref="BQ81:BS81"/>
    <mergeCell ref="BT81:BV81"/>
    <mergeCell ref="BW81:BY81"/>
    <mergeCell ref="BQ71:BS71"/>
    <mergeCell ref="BZ33:CB33"/>
    <mergeCell ref="BZ34:CB34"/>
    <mergeCell ref="BZ35:CB35"/>
    <mergeCell ref="BZ36:CB36"/>
    <mergeCell ref="BZ38:CB38"/>
    <mergeCell ref="BZ30:CB30"/>
    <mergeCell ref="BZ31:CB31"/>
    <mergeCell ref="BZ32:CB32"/>
    <mergeCell ref="BZ19:CB19"/>
    <mergeCell ref="BZ20:CB20"/>
    <mergeCell ref="BZ21:CB21"/>
    <mergeCell ref="BZ22:CB22"/>
    <mergeCell ref="BZ12:CB12"/>
    <mergeCell ref="BZ14:CB14"/>
    <mergeCell ref="BZ16:CB16"/>
    <mergeCell ref="BZ17:CB17"/>
    <mergeCell ref="BZ18:CB18"/>
    <mergeCell ref="BZ67:CB67"/>
    <mergeCell ref="BZ68:CB68"/>
    <mergeCell ref="BZ53:CB53"/>
    <mergeCell ref="BZ54:CB54"/>
    <mergeCell ref="BZ55:CB55"/>
    <mergeCell ref="BZ56:CB56"/>
    <mergeCell ref="BZ58:CB58"/>
    <mergeCell ref="BZ45:CB45"/>
    <mergeCell ref="BZ46:CB46"/>
    <mergeCell ref="BZ48:CB48"/>
    <mergeCell ref="BZ50:CB50"/>
    <mergeCell ref="BZ51:CB51"/>
    <mergeCell ref="BZ39:CB39"/>
    <mergeCell ref="BZ40:CB40"/>
    <mergeCell ref="BZ41:CB41"/>
    <mergeCell ref="BZ42:CB42"/>
    <mergeCell ref="BZ43:CB43"/>
    <mergeCell ref="CC30:CE30"/>
    <mergeCell ref="CC31:CE31"/>
    <mergeCell ref="CC32:CE32"/>
    <mergeCell ref="CC28:CD28"/>
    <mergeCell ref="BZ89:CB89"/>
    <mergeCell ref="CC6:CE6"/>
    <mergeCell ref="CC8:CE8"/>
    <mergeCell ref="CC9:CE9"/>
    <mergeCell ref="CC10:CE10"/>
    <mergeCell ref="CC11:CE11"/>
    <mergeCell ref="CC12:CE12"/>
    <mergeCell ref="CC14:CE14"/>
    <mergeCell ref="CC16:CE16"/>
    <mergeCell ref="CC17:CE17"/>
    <mergeCell ref="CC18:CE18"/>
    <mergeCell ref="CC19:CE19"/>
    <mergeCell ref="CC20:CE20"/>
    <mergeCell ref="CC21:CE21"/>
    <mergeCell ref="CC22:CE22"/>
    <mergeCell ref="BZ82:CB82"/>
    <mergeCell ref="BZ84:CB84"/>
    <mergeCell ref="BZ85:CB85"/>
    <mergeCell ref="BZ86:CB86"/>
    <mergeCell ref="BZ87:CB87"/>
    <mergeCell ref="BZ69:CB69"/>
    <mergeCell ref="BZ71:CB71"/>
    <mergeCell ref="BZ79:CB79"/>
    <mergeCell ref="BZ80:CB80"/>
    <mergeCell ref="BZ81:CB81"/>
    <mergeCell ref="BZ59:CB59"/>
    <mergeCell ref="BZ62:CB62"/>
    <mergeCell ref="BZ64:CB64"/>
    <mergeCell ref="CC68:CE68"/>
    <mergeCell ref="CC53:CE53"/>
    <mergeCell ref="CC54:CE54"/>
    <mergeCell ref="CC55:CE55"/>
    <mergeCell ref="CC56:CE56"/>
    <mergeCell ref="CC58:CE58"/>
    <mergeCell ref="CC45:CE45"/>
    <mergeCell ref="CC46:CE46"/>
    <mergeCell ref="CC48:CE48"/>
    <mergeCell ref="CC50:CE50"/>
    <mergeCell ref="CC51:CE51"/>
    <mergeCell ref="CC39:CE39"/>
    <mergeCell ref="CC40:CE40"/>
    <mergeCell ref="CC41:CE41"/>
    <mergeCell ref="CC42:CE42"/>
    <mergeCell ref="CC43:CE43"/>
    <mergeCell ref="CC33:CE33"/>
    <mergeCell ref="CC34:CE34"/>
    <mergeCell ref="CC35:CE35"/>
    <mergeCell ref="CC36:CE36"/>
    <mergeCell ref="CC38:CE38"/>
    <mergeCell ref="CF30:CH30"/>
    <mergeCell ref="CF31:CH31"/>
    <mergeCell ref="CF32:CH32"/>
    <mergeCell ref="CC89:CE89"/>
    <mergeCell ref="CF6:CH6"/>
    <mergeCell ref="CF8:CH8"/>
    <mergeCell ref="CF9:CH9"/>
    <mergeCell ref="CF10:CH10"/>
    <mergeCell ref="CF11:CH11"/>
    <mergeCell ref="CF12:CH12"/>
    <mergeCell ref="CF14:CH14"/>
    <mergeCell ref="CF16:CH16"/>
    <mergeCell ref="CF17:CH17"/>
    <mergeCell ref="CF18:CH18"/>
    <mergeCell ref="CF19:CH19"/>
    <mergeCell ref="CF20:CH20"/>
    <mergeCell ref="CF21:CH21"/>
    <mergeCell ref="CF22:CH22"/>
    <mergeCell ref="CC82:CE82"/>
    <mergeCell ref="CC84:CE84"/>
    <mergeCell ref="CC85:CE85"/>
    <mergeCell ref="CC86:CE86"/>
    <mergeCell ref="CC87:CE87"/>
    <mergeCell ref="CC69:CE69"/>
    <mergeCell ref="CC71:CE71"/>
    <mergeCell ref="CC79:CE79"/>
    <mergeCell ref="CC80:CE80"/>
    <mergeCell ref="CC81:CE81"/>
    <mergeCell ref="CC59:CE59"/>
    <mergeCell ref="CC62:CE62"/>
    <mergeCell ref="CC64:CE64"/>
    <mergeCell ref="CC67:CE67"/>
    <mergeCell ref="CF68:CH68"/>
    <mergeCell ref="CF53:CH53"/>
    <mergeCell ref="CF54:CH54"/>
    <mergeCell ref="CF55:CH55"/>
    <mergeCell ref="CF56:CH56"/>
    <mergeCell ref="CF58:CH58"/>
    <mergeCell ref="CF45:CH45"/>
    <mergeCell ref="CF46:CH46"/>
    <mergeCell ref="CF48:CH48"/>
    <mergeCell ref="CF50:CH50"/>
    <mergeCell ref="CF51:CH51"/>
    <mergeCell ref="CF39:CH39"/>
    <mergeCell ref="CF40:CH40"/>
    <mergeCell ref="CF41:CH41"/>
    <mergeCell ref="CF42:CH42"/>
    <mergeCell ref="CF43:CH43"/>
    <mergeCell ref="CF33:CH33"/>
    <mergeCell ref="CF34:CH34"/>
    <mergeCell ref="CF35:CH35"/>
    <mergeCell ref="CF36:CH36"/>
    <mergeCell ref="CF38:CH38"/>
    <mergeCell ref="CI30:CK30"/>
    <mergeCell ref="CI31:CK31"/>
    <mergeCell ref="CI32:CK32"/>
    <mergeCell ref="CF89:CH89"/>
    <mergeCell ref="CI6:CK6"/>
    <mergeCell ref="CI8:CK8"/>
    <mergeCell ref="CI9:CK9"/>
    <mergeCell ref="CI10:CK10"/>
    <mergeCell ref="CI11:CK11"/>
    <mergeCell ref="CI12:CK12"/>
    <mergeCell ref="CI14:CK14"/>
    <mergeCell ref="CI16:CK16"/>
    <mergeCell ref="CI17:CK17"/>
    <mergeCell ref="CI18:CK18"/>
    <mergeCell ref="CI19:CK19"/>
    <mergeCell ref="CI20:CK20"/>
    <mergeCell ref="CI21:CK21"/>
    <mergeCell ref="CI22:CK22"/>
    <mergeCell ref="CF82:CH82"/>
    <mergeCell ref="CF84:CH84"/>
    <mergeCell ref="CF85:CH85"/>
    <mergeCell ref="CF86:CH86"/>
    <mergeCell ref="CF87:CH87"/>
    <mergeCell ref="CF69:CH69"/>
    <mergeCell ref="CF71:CH71"/>
    <mergeCell ref="CF79:CH79"/>
    <mergeCell ref="CF80:CH80"/>
    <mergeCell ref="CF81:CH81"/>
    <mergeCell ref="CF59:CH59"/>
    <mergeCell ref="CF62:CH62"/>
    <mergeCell ref="CF64:CH64"/>
    <mergeCell ref="CF67:CH67"/>
    <mergeCell ref="CI68:CK68"/>
    <mergeCell ref="CI53:CK53"/>
    <mergeCell ref="CI54:CK54"/>
    <mergeCell ref="CI55:CK55"/>
    <mergeCell ref="CI56:CK56"/>
    <mergeCell ref="CI58:CK58"/>
    <mergeCell ref="CI45:CK45"/>
    <mergeCell ref="CI46:CK46"/>
    <mergeCell ref="CI48:CK48"/>
    <mergeCell ref="CI50:CK50"/>
    <mergeCell ref="CI51:CK51"/>
    <mergeCell ref="CI39:CK39"/>
    <mergeCell ref="CI40:CK40"/>
    <mergeCell ref="CI41:CK41"/>
    <mergeCell ref="CI42:CK42"/>
    <mergeCell ref="CI43:CK43"/>
    <mergeCell ref="CI33:CK33"/>
    <mergeCell ref="CI34:CK34"/>
    <mergeCell ref="CI35:CK35"/>
    <mergeCell ref="CI36:CK36"/>
    <mergeCell ref="CI38:CK38"/>
    <mergeCell ref="CI47:CK47"/>
    <mergeCell ref="CL30:CN30"/>
    <mergeCell ref="CL31:CN31"/>
    <mergeCell ref="CL32:CN32"/>
    <mergeCell ref="CI89:CK89"/>
    <mergeCell ref="CL6:CN6"/>
    <mergeCell ref="CL8:CN8"/>
    <mergeCell ref="CL9:CN9"/>
    <mergeCell ref="CL10:CN10"/>
    <mergeCell ref="CL11:CN11"/>
    <mergeCell ref="CL12:CN12"/>
    <mergeCell ref="CL14:CN14"/>
    <mergeCell ref="CL16:CN16"/>
    <mergeCell ref="CL17:CN17"/>
    <mergeCell ref="CL18:CN18"/>
    <mergeCell ref="CL19:CN19"/>
    <mergeCell ref="CL20:CN20"/>
    <mergeCell ref="CL21:CN21"/>
    <mergeCell ref="CL22:CN22"/>
    <mergeCell ref="CI82:CK82"/>
    <mergeCell ref="CI84:CK84"/>
    <mergeCell ref="CI85:CK85"/>
    <mergeCell ref="CI86:CK86"/>
    <mergeCell ref="CI87:CK87"/>
    <mergeCell ref="CI69:CK69"/>
    <mergeCell ref="CI71:CK71"/>
    <mergeCell ref="CI79:CK79"/>
    <mergeCell ref="CI80:CK80"/>
    <mergeCell ref="CI81:CK81"/>
    <mergeCell ref="CI59:CK59"/>
    <mergeCell ref="CI62:CK62"/>
    <mergeCell ref="CI64:CK64"/>
    <mergeCell ref="CI67:CK67"/>
    <mergeCell ref="CL55:CN55"/>
    <mergeCell ref="CL56:CN56"/>
    <mergeCell ref="CL58:CN58"/>
    <mergeCell ref="CL45:CN45"/>
    <mergeCell ref="CL46:CN46"/>
    <mergeCell ref="CL48:CN48"/>
    <mergeCell ref="CL50:CN50"/>
    <mergeCell ref="CL51:CN51"/>
    <mergeCell ref="CL39:CN39"/>
    <mergeCell ref="CL40:CN40"/>
    <mergeCell ref="CL41:CN41"/>
    <mergeCell ref="CL42:CN42"/>
    <mergeCell ref="CL43:CN43"/>
    <mergeCell ref="CL33:CN33"/>
    <mergeCell ref="CL34:CN34"/>
    <mergeCell ref="CL35:CN35"/>
    <mergeCell ref="CL36:CN36"/>
    <mergeCell ref="CL38:CN38"/>
    <mergeCell ref="CL47:CN47"/>
    <mergeCell ref="CL89:CN89"/>
    <mergeCell ref="CO6:CQ6"/>
    <mergeCell ref="CO8:CQ8"/>
    <mergeCell ref="CO9:CQ9"/>
    <mergeCell ref="CO10:CQ10"/>
    <mergeCell ref="CO11:CQ11"/>
    <mergeCell ref="CO12:CQ12"/>
    <mergeCell ref="CO14:CQ14"/>
    <mergeCell ref="CO16:CQ16"/>
    <mergeCell ref="CO17:CQ17"/>
    <mergeCell ref="CO18:CQ18"/>
    <mergeCell ref="CO19:CQ19"/>
    <mergeCell ref="CO20:CQ20"/>
    <mergeCell ref="CO21:CQ21"/>
    <mergeCell ref="CO22:CQ22"/>
    <mergeCell ref="CL82:CN82"/>
    <mergeCell ref="CL84:CN84"/>
    <mergeCell ref="CL85:CN85"/>
    <mergeCell ref="CL86:CN86"/>
    <mergeCell ref="CL87:CN87"/>
    <mergeCell ref="CL69:CN69"/>
    <mergeCell ref="CL71:CN71"/>
    <mergeCell ref="CL79:CN79"/>
    <mergeCell ref="CL80:CN80"/>
    <mergeCell ref="CL81:CN81"/>
    <mergeCell ref="CL59:CN59"/>
    <mergeCell ref="CL62:CN62"/>
    <mergeCell ref="CL64:CN64"/>
    <mergeCell ref="CL67:CN67"/>
    <mergeCell ref="CL68:CN68"/>
    <mergeCell ref="CL53:CN53"/>
    <mergeCell ref="CL54:CN54"/>
    <mergeCell ref="CO45:CQ45"/>
    <mergeCell ref="CO46:CQ46"/>
    <mergeCell ref="CO48:CQ48"/>
    <mergeCell ref="CO50:CQ50"/>
    <mergeCell ref="CO51:CQ51"/>
    <mergeCell ref="CO39:CQ39"/>
    <mergeCell ref="CO40:CQ40"/>
    <mergeCell ref="CO41:CQ41"/>
    <mergeCell ref="CO42:CQ42"/>
    <mergeCell ref="CO43:CQ43"/>
    <mergeCell ref="CO33:CQ33"/>
    <mergeCell ref="CO34:CQ34"/>
    <mergeCell ref="CO35:CQ35"/>
    <mergeCell ref="CO36:CQ36"/>
    <mergeCell ref="CO38:CQ38"/>
    <mergeCell ref="CO30:CQ30"/>
    <mergeCell ref="CO31:CQ31"/>
    <mergeCell ref="CO32:CQ32"/>
    <mergeCell ref="CO47:CQ47"/>
    <mergeCell ref="CO89:CQ89"/>
    <mergeCell ref="CO82:CQ82"/>
    <mergeCell ref="CO84:CQ84"/>
    <mergeCell ref="CO85:CQ85"/>
    <mergeCell ref="CO86:CQ86"/>
    <mergeCell ref="CO87:CQ87"/>
    <mergeCell ref="CO69:CQ69"/>
    <mergeCell ref="CO71:CQ71"/>
    <mergeCell ref="CO79:CQ79"/>
    <mergeCell ref="CO80:CQ80"/>
    <mergeCell ref="CO81:CQ81"/>
    <mergeCell ref="CO59:CQ59"/>
    <mergeCell ref="CO62:CQ62"/>
    <mergeCell ref="CO64:CQ64"/>
    <mergeCell ref="CO67:CQ67"/>
    <mergeCell ref="CO68:CQ68"/>
    <mergeCell ref="CO53:CQ53"/>
    <mergeCell ref="CO54:CQ54"/>
    <mergeCell ref="CO55:CQ55"/>
    <mergeCell ref="CO56:CQ56"/>
    <mergeCell ref="CO58:CQ58"/>
    <mergeCell ref="CO76:CQ76"/>
    <mergeCell ref="F92:H92"/>
    <mergeCell ref="I91:K91"/>
    <mergeCell ref="L91:N91"/>
    <mergeCell ref="O91:Q91"/>
    <mergeCell ref="R91:T91"/>
    <mergeCell ref="U91:W91"/>
    <mergeCell ref="X91:Z91"/>
    <mergeCell ref="AA91:AC91"/>
    <mergeCell ref="AD91:AF91"/>
    <mergeCell ref="AG91:AI91"/>
    <mergeCell ref="AJ91:AL91"/>
    <mergeCell ref="AM91:AO91"/>
    <mergeCell ref="AP91:AR91"/>
    <mergeCell ref="AS91:AU91"/>
    <mergeCell ref="AV91:AX91"/>
    <mergeCell ref="AY91:BA91"/>
    <mergeCell ref="BB91:BD91"/>
    <mergeCell ref="I92:K92"/>
    <mergeCell ref="L92:N92"/>
    <mergeCell ref="O92:Q92"/>
    <mergeCell ref="R92:T92"/>
    <mergeCell ref="U92:W92"/>
    <mergeCell ref="X92:Z92"/>
    <mergeCell ref="AA92:AC92"/>
    <mergeCell ref="AD92:AF92"/>
    <mergeCell ref="AG92:AI92"/>
    <mergeCell ref="AJ92:AL92"/>
    <mergeCell ref="AM92:AO92"/>
    <mergeCell ref="AP92:AR92"/>
    <mergeCell ref="AS92:AU92"/>
    <mergeCell ref="AV92:AX92"/>
    <mergeCell ref="AY92:BA92"/>
    <mergeCell ref="BB92:BD92"/>
    <mergeCell ref="BE92:BG92"/>
    <mergeCell ref="BN92:BP92"/>
    <mergeCell ref="BQ92:BS92"/>
    <mergeCell ref="BT92:BV92"/>
    <mergeCell ref="BW92:BY92"/>
    <mergeCell ref="BZ92:CB92"/>
    <mergeCell ref="CC92:CE92"/>
    <mergeCell ref="CF92:CH92"/>
    <mergeCell ref="CI92:CK92"/>
    <mergeCell ref="CL92:CN92"/>
    <mergeCell ref="CO92:CQ92"/>
    <mergeCell ref="BE91:BG91"/>
    <mergeCell ref="BH91:BJ91"/>
    <mergeCell ref="BK91:BM91"/>
    <mergeCell ref="BN91:BP91"/>
    <mergeCell ref="BQ91:BS91"/>
    <mergeCell ref="BT91:BV91"/>
    <mergeCell ref="BW91:BY91"/>
    <mergeCell ref="BZ91:CB91"/>
    <mergeCell ref="CC91:CE91"/>
    <mergeCell ref="CF91:CH91"/>
    <mergeCell ref="CI91:CK91"/>
    <mergeCell ref="CL91:CN91"/>
    <mergeCell ref="CO91:CQ91"/>
    <mergeCell ref="BH92:BJ92"/>
    <mergeCell ref="BK92:BM92"/>
    <mergeCell ref="AG23:AH23"/>
    <mergeCell ref="AJ23:AK23"/>
    <mergeCell ref="AM23:AN23"/>
    <mergeCell ref="AP23:AQ23"/>
    <mergeCell ref="AS23:AT23"/>
    <mergeCell ref="AV23:AW23"/>
    <mergeCell ref="AY23:AZ23"/>
    <mergeCell ref="L26:M26"/>
    <mergeCell ref="O26:P26"/>
    <mergeCell ref="R26:S26"/>
    <mergeCell ref="U26:V26"/>
    <mergeCell ref="X26:Y26"/>
    <mergeCell ref="AA26:AB26"/>
    <mergeCell ref="AD26:AE26"/>
    <mergeCell ref="AG26:AH26"/>
    <mergeCell ref="AJ26:AK26"/>
    <mergeCell ref="AM26:AN26"/>
    <mergeCell ref="AP26:AQ26"/>
    <mergeCell ref="AS26:AT26"/>
    <mergeCell ref="AV26:AW26"/>
    <mergeCell ref="AY26:AZ26"/>
    <mergeCell ref="L28:M28"/>
    <mergeCell ref="O28:P28"/>
    <mergeCell ref="R28:S28"/>
    <mergeCell ref="CC23:CD23"/>
    <mergeCell ref="CF23:CG23"/>
    <mergeCell ref="CI23:CJ23"/>
    <mergeCell ref="CL23:CM23"/>
    <mergeCell ref="CO23:CP23"/>
    <mergeCell ref="L24:M24"/>
    <mergeCell ref="O24:P24"/>
    <mergeCell ref="R24:S24"/>
    <mergeCell ref="U24:V24"/>
    <mergeCell ref="X24:Y24"/>
    <mergeCell ref="AA24:AB24"/>
    <mergeCell ref="AD24:AE24"/>
    <mergeCell ref="AG24:AH24"/>
    <mergeCell ref="AJ24:AK24"/>
    <mergeCell ref="AM24:AN24"/>
    <mergeCell ref="AP24:AQ24"/>
    <mergeCell ref="AS24:AT24"/>
    <mergeCell ref="AV24:AW24"/>
    <mergeCell ref="AY24:AZ24"/>
    <mergeCell ref="BB24:BC24"/>
    <mergeCell ref="BE24:BF24"/>
    <mergeCell ref="BH24:BI24"/>
    <mergeCell ref="BK24:BL24"/>
    <mergeCell ref="BN24:BO24"/>
    <mergeCell ref="BQ24:BR24"/>
    <mergeCell ref="BT24:BU24"/>
    <mergeCell ref="BW24:BX24"/>
    <mergeCell ref="BZ24:CA24"/>
    <mergeCell ref="CC24:CD24"/>
    <mergeCell ref="CF24:CG24"/>
    <mergeCell ref="CI24:CJ24"/>
    <mergeCell ref="CL24:CM24"/>
    <mergeCell ref="CO24:CP24"/>
    <mergeCell ref="L25:M25"/>
    <mergeCell ref="O25:P25"/>
    <mergeCell ref="R25:S25"/>
    <mergeCell ref="U25:V25"/>
    <mergeCell ref="X25:Y25"/>
    <mergeCell ref="AA25:AB25"/>
    <mergeCell ref="AD25:AE25"/>
    <mergeCell ref="AG25:AH25"/>
    <mergeCell ref="AJ25:AK25"/>
    <mergeCell ref="AM25:AN25"/>
    <mergeCell ref="AP25:AQ25"/>
    <mergeCell ref="AS25:AT25"/>
    <mergeCell ref="AV25:AW25"/>
    <mergeCell ref="AY25:AZ25"/>
    <mergeCell ref="BB25:BC25"/>
    <mergeCell ref="BE25:BF25"/>
    <mergeCell ref="BH25:BI25"/>
    <mergeCell ref="BK25:BL25"/>
    <mergeCell ref="BN25:BO25"/>
    <mergeCell ref="BQ25:BR25"/>
    <mergeCell ref="BT25:BU25"/>
    <mergeCell ref="BW25:BX25"/>
    <mergeCell ref="BZ25:CA25"/>
    <mergeCell ref="CC25:CD25"/>
    <mergeCell ref="CF25:CG25"/>
    <mergeCell ref="CI25:CJ25"/>
    <mergeCell ref="CL25:CM25"/>
    <mergeCell ref="CO25:CP25"/>
    <mergeCell ref="CO26:CP26"/>
    <mergeCell ref="L27:M27"/>
    <mergeCell ref="O27:P27"/>
    <mergeCell ref="R27:S27"/>
    <mergeCell ref="U27:V27"/>
    <mergeCell ref="X27:Y27"/>
    <mergeCell ref="AA27:AB27"/>
    <mergeCell ref="AD27:AE27"/>
    <mergeCell ref="AG27:AH27"/>
    <mergeCell ref="AJ27:AK27"/>
    <mergeCell ref="AM27:AN27"/>
    <mergeCell ref="AP27:AQ27"/>
    <mergeCell ref="AS27:AT27"/>
    <mergeCell ref="AV27:AW27"/>
    <mergeCell ref="AY27:AZ27"/>
    <mergeCell ref="BB27:BC27"/>
    <mergeCell ref="BE27:BF27"/>
    <mergeCell ref="BH27:BI27"/>
    <mergeCell ref="BK27:BL27"/>
    <mergeCell ref="BB26:BC26"/>
    <mergeCell ref="BE26:BF26"/>
    <mergeCell ref="BH26:BI26"/>
    <mergeCell ref="BK26:BL26"/>
    <mergeCell ref="BN26:BO26"/>
    <mergeCell ref="BQ26:BR26"/>
    <mergeCell ref="BT26:BU26"/>
    <mergeCell ref="BW26:BX26"/>
    <mergeCell ref="BZ26:CA26"/>
    <mergeCell ref="CC26:CD26"/>
    <mergeCell ref="CF26:CG26"/>
    <mergeCell ref="CI26:CJ26"/>
    <mergeCell ref="CL26:CM26"/>
    <mergeCell ref="CF28:CG28"/>
    <mergeCell ref="CI28:CJ28"/>
    <mergeCell ref="CL28:CM28"/>
    <mergeCell ref="CO28:CP28"/>
    <mergeCell ref="BN27:BO27"/>
    <mergeCell ref="BQ27:BR27"/>
    <mergeCell ref="BT27:BU27"/>
    <mergeCell ref="BW27:BX27"/>
    <mergeCell ref="BZ27:CA27"/>
    <mergeCell ref="CC27:CD27"/>
    <mergeCell ref="CF27:CG27"/>
    <mergeCell ref="CI27:CJ27"/>
    <mergeCell ref="CL27:CM27"/>
    <mergeCell ref="CO27:CP27"/>
    <mergeCell ref="U28:V28"/>
    <mergeCell ref="X28:Y28"/>
    <mergeCell ref="AA28:AB28"/>
    <mergeCell ref="AD28:AE28"/>
    <mergeCell ref="AG28:AH28"/>
    <mergeCell ref="AJ28:AK28"/>
    <mergeCell ref="AM28:AN28"/>
    <mergeCell ref="AP28:AQ28"/>
    <mergeCell ref="AS28:AT28"/>
    <mergeCell ref="AV28:AW28"/>
    <mergeCell ref="AY28:AZ28"/>
    <mergeCell ref="BB28:BC28"/>
    <mergeCell ref="BE28:BF28"/>
    <mergeCell ref="BH28:BI28"/>
    <mergeCell ref="BN28:BO28"/>
    <mergeCell ref="BQ28:BR28"/>
    <mergeCell ref="BT28:BU28"/>
    <mergeCell ref="BK28:BL28"/>
    <mergeCell ref="D39:E39"/>
    <mergeCell ref="D38:E38"/>
    <mergeCell ref="D36:E36"/>
    <mergeCell ref="D35:E35"/>
    <mergeCell ref="D34:E34"/>
    <mergeCell ref="D6:E6"/>
    <mergeCell ref="A7:E7"/>
    <mergeCell ref="D8:E8"/>
    <mergeCell ref="D9:E9"/>
    <mergeCell ref="D22:E22"/>
    <mergeCell ref="D21:E21"/>
    <mergeCell ref="D20:E20"/>
    <mergeCell ref="D19:E19"/>
    <mergeCell ref="D18:E18"/>
    <mergeCell ref="D17:E17"/>
    <mergeCell ref="D16:E16"/>
    <mergeCell ref="A15:E15"/>
    <mergeCell ref="D14:E14"/>
    <mergeCell ref="A13:E13"/>
    <mergeCell ref="D12:E12"/>
    <mergeCell ref="D11:E11"/>
    <mergeCell ref="D10:E10"/>
    <mergeCell ref="D33:E33"/>
    <mergeCell ref="D32:E32"/>
    <mergeCell ref="D31:E31"/>
    <mergeCell ref="D30:E30"/>
    <mergeCell ref="A29:E29"/>
    <mergeCell ref="A37:E37"/>
    <mergeCell ref="D43:E43"/>
    <mergeCell ref="D42:E42"/>
    <mergeCell ref="D41:E41"/>
    <mergeCell ref="D40:E40"/>
    <mergeCell ref="D82:E82"/>
    <mergeCell ref="D81:E81"/>
    <mergeCell ref="D80:E80"/>
    <mergeCell ref="D79:E79"/>
    <mergeCell ref="A78:E78"/>
    <mergeCell ref="D74:E74"/>
    <mergeCell ref="D73:E73"/>
    <mergeCell ref="D72:E72"/>
    <mergeCell ref="D56:E56"/>
    <mergeCell ref="D55:E55"/>
    <mergeCell ref="D54:E54"/>
    <mergeCell ref="D53:E53"/>
    <mergeCell ref="D71:E71"/>
    <mergeCell ref="D70:E70"/>
    <mergeCell ref="D69:E69"/>
    <mergeCell ref="D68:E68"/>
    <mergeCell ref="D67:E67"/>
    <mergeCell ref="D66:E66"/>
    <mergeCell ref="D65:E65"/>
    <mergeCell ref="D64:E64"/>
    <mergeCell ref="D63:E63"/>
    <mergeCell ref="D62:E62"/>
    <mergeCell ref="D61:E61"/>
    <mergeCell ref="D60:E60"/>
    <mergeCell ref="D59:E59"/>
    <mergeCell ref="D58:E58"/>
    <mergeCell ref="D92:E92"/>
    <mergeCell ref="D91:E91"/>
    <mergeCell ref="A90:E90"/>
    <mergeCell ref="D89:E89"/>
    <mergeCell ref="A88:E88"/>
    <mergeCell ref="D87:E87"/>
    <mergeCell ref="D86:E86"/>
    <mergeCell ref="D85:E85"/>
    <mergeCell ref="D84:E84"/>
    <mergeCell ref="A83:E83"/>
    <mergeCell ref="A52:E52"/>
    <mergeCell ref="A49:E49"/>
    <mergeCell ref="A44:E44"/>
    <mergeCell ref="D51:E51"/>
    <mergeCell ref="D50:E50"/>
    <mergeCell ref="D48:E48"/>
    <mergeCell ref="D46:E46"/>
    <mergeCell ref="D45:E45"/>
    <mergeCell ref="A57:E57"/>
    <mergeCell ref="D75:E75"/>
    <mergeCell ref="D77:E77"/>
    <mergeCell ref="F75:H75"/>
    <mergeCell ref="I75:K75"/>
    <mergeCell ref="L75:N75"/>
    <mergeCell ref="O75:Q75"/>
    <mergeCell ref="CO75:CQ75"/>
    <mergeCell ref="CL75:CN75"/>
    <mergeCell ref="CI75:CK75"/>
    <mergeCell ref="CF75:CH75"/>
    <mergeCell ref="CC75:CE75"/>
    <mergeCell ref="BZ75:CB75"/>
    <mergeCell ref="BW75:BY75"/>
    <mergeCell ref="BT75:BV75"/>
    <mergeCell ref="BQ75:BS75"/>
    <mergeCell ref="BN75:BP75"/>
    <mergeCell ref="BK75:BM75"/>
    <mergeCell ref="BH75:BJ75"/>
    <mergeCell ref="BE75:BG75"/>
    <mergeCell ref="BB75:BD75"/>
    <mergeCell ref="AY75:BA75"/>
    <mergeCell ref="AV75:AX75"/>
    <mergeCell ref="AS75:AU75"/>
    <mergeCell ref="AP75:AR75"/>
    <mergeCell ref="AM75:AO75"/>
    <mergeCell ref="AJ75:AL75"/>
    <mergeCell ref="AG75:AI75"/>
    <mergeCell ref="AD75:AF75"/>
    <mergeCell ref="AA75:AC75"/>
    <mergeCell ref="X75:Z75"/>
    <mergeCell ref="U75:W75"/>
    <mergeCell ref="R75:T75"/>
    <mergeCell ref="F76:H76"/>
    <mergeCell ref="D76:E76"/>
    <mergeCell ref="CL76:CN76"/>
    <mergeCell ref="CI76:CK76"/>
    <mergeCell ref="CF76:CH76"/>
    <mergeCell ref="CC76:CE76"/>
    <mergeCell ref="BZ76:CB76"/>
    <mergeCell ref="BW76:BY76"/>
    <mergeCell ref="BT76:BV76"/>
    <mergeCell ref="BQ76:BS76"/>
    <mergeCell ref="BN76:BP76"/>
    <mergeCell ref="BK76:BM76"/>
    <mergeCell ref="BH76:BJ76"/>
    <mergeCell ref="BE76:BG76"/>
    <mergeCell ref="BB76:BD76"/>
    <mergeCell ref="AY76:BA76"/>
    <mergeCell ref="AV76:AX76"/>
    <mergeCell ref="AS76:AU76"/>
    <mergeCell ref="AP76:AR76"/>
  </mergeCells>
  <phoneticPr fontId="5" type="noConversion"/>
  <conditionalFormatting sqref="A8:C12 A14:C14 A16:C18 A38:C43 A45:C48 A50:C51 A53:C56 A84:C87 A89:C89 A20:C21 A30:C36 A79:C82 A58:C66 A91:C92 A22:B24">
    <cfRule type="containsText" dxfId="1120" priority="1960" operator="containsText" text="X">
      <formula>NOT(ISERROR(SEARCH("X",A8)))</formula>
    </cfRule>
  </conditionalFormatting>
  <conditionalFormatting sqref="A19:C19">
    <cfRule type="containsText" dxfId="1119" priority="1957" operator="containsText" text="X">
      <formula>NOT(ISERROR(SEARCH("X",A19)))</formula>
    </cfRule>
  </conditionalFormatting>
  <conditionalFormatting sqref="C23:C24">
    <cfRule type="containsText" dxfId="1118" priority="1955" operator="containsText" text="X">
      <formula>NOT(ISERROR(SEARCH("X",C23)))</formula>
    </cfRule>
  </conditionalFormatting>
  <conditionalFormatting sqref="C22">
    <cfRule type="containsText" dxfId="1117" priority="1953" operator="containsText" text="X">
      <formula>NOT(ISERROR(SEARCH("X",C22)))</formula>
    </cfRule>
  </conditionalFormatting>
  <conditionalFormatting sqref="A25:B27">
    <cfRule type="containsText" dxfId="1116" priority="1947" operator="containsText" text="X">
      <formula>NOT(ISERROR(SEARCH("X",A25)))</formula>
    </cfRule>
  </conditionalFormatting>
  <conditionalFormatting sqref="C25:C27">
    <cfRule type="containsText" dxfId="1115" priority="1945" operator="containsText" text="X">
      <formula>NOT(ISERROR(SEARCH("X",C25)))</formula>
    </cfRule>
  </conditionalFormatting>
  <conditionalFormatting sqref="C28">
    <cfRule type="containsText" dxfId="1114" priority="1949" operator="containsText" text="X">
      <formula>NOT(ISERROR(SEARCH("X",C28)))</formula>
    </cfRule>
  </conditionalFormatting>
  <conditionalFormatting sqref="A28:B28">
    <cfRule type="containsText" dxfId="1113" priority="1948" operator="containsText" text="X">
      <formula>NOT(ISERROR(SEARCH("X",A28)))</formula>
    </cfRule>
  </conditionalFormatting>
  <conditionalFormatting sqref="A67:C67">
    <cfRule type="containsText" dxfId="1112" priority="1944" operator="containsText" text="X">
      <formula>NOT(ISERROR(SEARCH("X",A67)))</formula>
    </cfRule>
  </conditionalFormatting>
  <conditionalFormatting sqref="A68:C68">
    <cfRule type="containsText" dxfId="1111" priority="1943" operator="containsText" text="X">
      <formula>NOT(ISERROR(SEARCH("X",A68)))</formula>
    </cfRule>
  </conditionalFormatting>
  <conditionalFormatting sqref="A69:C73">
    <cfRule type="containsText" dxfId="1110" priority="1940" operator="containsText" text="X">
      <formula>NOT(ISERROR(SEARCH("X",A69)))</formula>
    </cfRule>
  </conditionalFormatting>
  <conditionalFormatting sqref="A74:C77">
    <cfRule type="containsText" dxfId="1109" priority="1490" operator="containsText" text="X">
      <formula>NOT(ISERROR(SEARCH("X",A74)))</formula>
    </cfRule>
  </conditionalFormatting>
  <conditionalFormatting sqref="F14:CQ14">
    <cfRule type="expression" dxfId="1108" priority="1609">
      <formula>F14=""</formula>
    </cfRule>
  </conditionalFormatting>
  <conditionalFormatting sqref="F16:CQ22">
    <cfRule type="expression" dxfId="1107" priority="1608">
      <formula>F16=""</formula>
    </cfRule>
  </conditionalFormatting>
  <conditionalFormatting sqref="F30:CQ36">
    <cfRule type="expression" dxfId="1106" priority="1602">
      <formula>F30=""</formula>
    </cfRule>
  </conditionalFormatting>
  <conditionalFormatting sqref="F38:CQ43">
    <cfRule type="expression" dxfId="1105" priority="881">
      <formula>F38=""</formula>
    </cfRule>
  </conditionalFormatting>
  <conditionalFormatting sqref="F45:CQ47">
    <cfRule type="expression" dxfId="1104" priority="879">
      <formula>F45=""</formula>
    </cfRule>
  </conditionalFormatting>
  <conditionalFormatting sqref="F50:CQ51">
    <cfRule type="expression" dxfId="1103" priority="1607">
      <formula>F50=""</formula>
    </cfRule>
  </conditionalFormatting>
  <conditionalFormatting sqref="F53:CQ56">
    <cfRule type="expression" dxfId="1102" priority="1597">
      <formula>F53=""</formula>
    </cfRule>
  </conditionalFormatting>
  <conditionalFormatting sqref="F59:CQ59">
    <cfRule type="expression" dxfId="1101" priority="1606">
      <formula>F59=""</formula>
    </cfRule>
  </conditionalFormatting>
  <conditionalFormatting sqref="F60">
    <cfRule type="expression" dxfId="1100" priority="1489">
      <formula>F60=""</formula>
    </cfRule>
  </conditionalFormatting>
  <conditionalFormatting sqref="F61">
    <cfRule type="expression" dxfId="1099" priority="1451">
      <formula>F61=""</formula>
    </cfRule>
  </conditionalFormatting>
  <conditionalFormatting sqref="F63">
    <cfRule type="expression" dxfId="1098" priority="1452">
      <formula>F63=""</formula>
    </cfRule>
  </conditionalFormatting>
  <conditionalFormatting sqref="F65:F66">
    <cfRule type="expression" dxfId="1097" priority="1450">
      <formula>F65=""</formula>
    </cfRule>
  </conditionalFormatting>
  <conditionalFormatting sqref="F70">
    <cfRule type="expression" dxfId="1096" priority="1449">
      <formula>F70=""</formula>
    </cfRule>
  </conditionalFormatting>
  <conditionalFormatting sqref="F72">
    <cfRule type="expression" dxfId="1095" priority="1448">
      <formula>F72=""</formula>
    </cfRule>
  </conditionalFormatting>
  <conditionalFormatting sqref="F73">
    <cfRule type="expression" dxfId="1094" priority="1447">
      <formula>F73=""</formula>
    </cfRule>
  </conditionalFormatting>
  <conditionalFormatting sqref="F74">
    <cfRule type="expression" dxfId="1093" priority="1446">
      <formula>F74=""</formula>
    </cfRule>
  </conditionalFormatting>
  <conditionalFormatting sqref="F62:CQ62">
    <cfRule type="expression" dxfId="1092" priority="1605">
      <formula>F62=""</formula>
    </cfRule>
  </conditionalFormatting>
  <conditionalFormatting sqref="F67:CQ69">
    <cfRule type="expression" dxfId="1091" priority="1604">
      <formula>F67=""</formula>
    </cfRule>
  </conditionalFormatting>
  <conditionalFormatting sqref="H60">
    <cfRule type="expression" dxfId="1090" priority="1442">
      <formula>AND(F60="Yes",H60&lt;&gt;"")</formula>
    </cfRule>
    <cfRule type="expression" dxfId="1089" priority="1445">
      <formula>F60="Yes"</formula>
    </cfRule>
  </conditionalFormatting>
  <conditionalFormatting sqref="H61">
    <cfRule type="expression" dxfId="1088" priority="1439">
      <formula>AND(F61="Yes",H61&lt;&gt;"")</formula>
    </cfRule>
    <cfRule type="expression" dxfId="1087" priority="1440">
      <formula>F61="Yes"</formula>
    </cfRule>
  </conditionalFormatting>
  <conditionalFormatting sqref="H63">
    <cfRule type="expression" dxfId="1086" priority="1437">
      <formula>AND(F63="Yes",H63&lt;&gt;"")</formula>
    </cfRule>
    <cfRule type="expression" dxfId="1085" priority="1438">
      <formula>F63="Yes"</formula>
    </cfRule>
  </conditionalFormatting>
  <conditionalFormatting sqref="H65:H66">
    <cfRule type="expression" dxfId="1084" priority="1435">
      <formula>AND(F65="Yes",H65&lt;&gt;"")</formula>
    </cfRule>
    <cfRule type="expression" dxfId="1083" priority="1436">
      <formula>F65="Yes"</formula>
    </cfRule>
  </conditionalFormatting>
  <conditionalFormatting sqref="H70">
    <cfRule type="expression" dxfId="1082" priority="1433">
      <formula>AND(F70="Yes",H70&lt;&gt;"")</formula>
    </cfRule>
    <cfRule type="expression" dxfId="1081" priority="1434">
      <formula>F70="Yes"</formula>
    </cfRule>
  </conditionalFormatting>
  <conditionalFormatting sqref="H72:H74 H77">
    <cfRule type="expression" dxfId="1080" priority="1431">
      <formula>AND(F72="Yes",H72&lt;&gt;"")</formula>
    </cfRule>
    <cfRule type="expression" dxfId="1079" priority="1432">
      <formula>F72="Yes"</formula>
    </cfRule>
  </conditionalFormatting>
  <conditionalFormatting sqref="I60">
    <cfRule type="expression" dxfId="1078" priority="1429">
      <formula>I60=""</formula>
    </cfRule>
  </conditionalFormatting>
  <conditionalFormatting sqref="I61">
    <cfRule type="expression" dxfId="1077" priority="1428">
      <formula>I61=""</formula>
    </cfRule>
  </conditionalFormatting>
  <conditionalFormatting sqref="L60">
    <cfRule type="expression" dxfId="1076" priority="1454">
      <formula>L60=""</formula>
    </cfRule>
  </conditionalFormatting>
  <conditionalFormatting sqref="L61">
    <cfRule type="expression" dxfId="1075" priority="1425">
      <formula>L61=""</formula>
    </cfRule>
  </conditionalFormatting>
  <conditionalFormatting sqref="O60">
    <cfRule type="expression" dxfId="1074" priority="1456">
      <formula>O60=""</formula>
    </cfRule>
  </conditionalFormatting>
  <conditionalFormatting sqref="O61">
    <cfRule type="expression" dxfId="1073" priority="1422">
      <formula>O61=""</formula>
    </cfRule>
  </conditionalFormatting>
  <conditionalFormatting sqref="R60">
    <cfRule type="expression" dxfId="1072" priority="1457">
      <formula>R60=""</formula>
    </cfRule>
  </conditionalFormatting>
  <conditionalFormatting sqref="R61">
    <cfRule type="expression" dxfId="1071" priority="1419">
      <formula>R61=""</formula>
    </cfRule>
  </conditionalFormatting>
  <conditionalFormatting sqref="U60">
    <cfRule type="expression" dxfId="1070" priority="1416">
      <formula>U60=""</formula>
    </cfRule>
  </conditionalFormatting>
  <conditionalFormatting sqref="U61">
    <cfRule type="expression" dxfId="1069" priority="1415">
      <formula>U61=""</formula>
    </cfRule>
  </conditionalFormatting>
  <conditionalFormatting sqref="X60">
    <cfRule type="expression" dxfId="1068" priority="1413">
      <formula>X60=""</formula>
    </cfRule>
  </conditionalFormatting>
  <conditionalFormatting sqref="X61">
    <cfRule type="expression" dxfId="1067" priority="1412">
      <formula>X61=""</formula>
    </cfRule>
  </conditionalFormatting>
  <conditionalFormatting sqref="AA60">
    <cfRule type="expression" dxfId="1066" priority="1458">
      <formula>AA60=""</formula>
    </cfRule>
  </conditionalFormatting>
  <conditionalFormatting sqref="AA61">
    <cfRule type="expression" dxfId="1065" priority="1410">
      <formula>AA61=""</formula>
    </cfRule>
  </conditionalFormatting>
  <conditionalFormatting sqref="AD60">
    <cfRule type="expression" dxfId="1064" priority="1481">
      <formula>AD60=""</formula>
    </cfRule>
  </conditionalFormatting>
  <conditionalFormatting sqref="AD61">
    <cfRule type="expression" dxfId="1063" priority="1407">
      <formula>AD61=""</formula>
    </cfRule>
  </conditionalFormatting>
  <conditionalFormatting sqref="AG60">
    <cfRule type="expression" dxfId="1062" priority="1480">
      <formula>AG60=""</formula>
    </cfRule>
  </conditionalFormatting>
  <conditionalFormatting sqref="AG61">
    <cfRule type="expression" dxfId="1061" priority="1404">
      <formula>AG61=""</formula>
    </cfRule>
  </conditionalFormatting>
  <conditionalFormatting sqref="AJ60">
    <cfRule type="expression" dxfId="1060" priority="1479">
      <formula>AJ60=""</formula>
    </cfRule>
  </conditionalFormatting>
  <conditionalFormatting sqref="AJ61">
    <cfRule type="expression" dxfId="1059" priority="1401">
      <formula>AJ61=""</formula>
    </cfRule>
  </conditionalFormatting>
  <conditionalFormatting sqref="AM60">
    <cfRule type="expression" dxfId="1058" priority="1478">
      <formula>AM60=""</formula>
    </cfRule>
  </conditionalFormatting>
  <conditionalFormatting sqref="AM61">
    <cfRule type="expression" dxfId="1057" priority="1398">
      <formula>AM61=""</formula>
    </cfRule>
  </conditionalFormatting>
  <conditionalFormatting sqref="AP60">
    <cfRule type="expression" dxfId="1056" priority="1477">
      <formula>AP60=""</formula>
    </cfRule>
  </conditionalFormatting>
  <conditionalFormatting sqref="AP61">
    <cfRule type="expression" dxfId="1055" priority="1395">
      <formula>AP61=""</formula>
    </cfRule>
  </conditionalFormatting>
  <conditionalFormatting sqref="AS60">
    <cfRule type="expression" dxfId="1054" priority="1476">
      <formula>AS60=""</formula>
    </cfRule>
  </conditionalFormatting>
  <conditionalFormatting sqref="AS61">
    <cfRule type="expression" dxfId="1053" priority="1392">
      <formula>AS61=""</formula>
    </cfRule>
  </conditionalFormatting>
  <conditionalFormatting sqref="AV60">
    <cfRule type="expression" dxfId="1052" priority="1475">
      <formula>AV60=""</formula>
    </cfRule>
  </conditionalFormatting>
  <conditionalFormatting sqref="AV61">
    <cfRule type="expression" dxfId="1051" priority="1389">
      <formula>AV61=""</formula>
    </cfRule>
  </conditionalFormatting>
  <conditionalFormatting sqref="AY60">
    <cfRule type="expression" dxfId="1050" priority="1474">
      <formula>AY60=""</formula>
    </cfRule>
  </conditionalFormatting>
  <conditionalFormatting sqref="AY61">
    <cfRule type="expression" dxfId="1049" priority="1386">
      <formula>AY61=""</formula>
    </cfRule>
  </conditionalFormatting>
  <conditionalFormatting sqref="BB60">
    <cfRule type="expression" dxfId="1048" priority="1473">
      <formula>BB60=""</formula>
    </cfRule>
  </conditionalFormatting>
  <conditionalFormatting sqref="BB61">
    <cfRule type="expression" dxfId="1047" priority="1383">
      <formula>BB61=""</formula>
    </cfRule>
  </conditionalFormatting>
  <conditionalFormatting sqref="BE60">
    <cfRule type="expression" dxfId="1046" priority="1472">
      <formula>BE60=""</formula>
    </cfRule>
  </conditionalFormatting>
  <conditionalFormatting sqref="BE61">
    <cfRule type="expression" dxfId="1045" priority="1380">
      <formula>BE61=""</formula>
    </cfRule>
  </conditionalFormatting>
  <conditionalFormatting sqref="BH60">
    <cfRule type="expression" dxfId="1044" priority="1471">
      <formula>BH60=""</formula>
    </cfRule>
  </conditionalFormatting>
  <conditionalFormatting sqref="BH61">
    <cfRule type="expression" dxfId="1043" priority="1377">
      <formula>BH61=""</formula>
    </cfRule>
  </conditionalFormatting>
  <conditionalFormatting sqref="BK60">
    <cfRule type="expression" dxfId="1042" priority="1470">
      <formula>BK60=""</formula>
    </cfRule>
  </conditionalFormatting>
  <conditionalFormatting sqref="BK61">
    <cfRule type="expression" dxfId="1041" priority="1374">
      <formula>BK61=""</formula>
    </cfRule>
  </conditionalFormatting>
  <conditionalFormatting sqref="BN60">
    <cfRule type="expression" dxfId="1040" priority="1469">
      <formula>BN60=""</formula>
    </cfRule>
  </conditionalFormatting>
  <conditionalFormatting sqref="BN61">
    <cfRule type="expression" dxfId="1039" priority="1371">
      <formula>BN61=""</formula>
    </cfRule>
  </conditionalFormatting>
  <conditionalFormatting sqref="BQ60">
    <cfRule type="expression" dxfId="1038" priority="1468">
      <formula>BQ60=""</formula>
    </cfRule>
  </conditionalFormatting>
  <conditionalFormatting sqref="BQ61">
    <cfRule type="expression" dxfId="1037" priority="1368">
      <formula>BQ61=""</formula>
    </cfRule>
  </conditionalFormatting>
  <conditionalFormatting sqref="BT60">
    <cfRule type="expression" dxfId="1036" priority="1467">
      <formula>BT60=""</formula>
    </cfRule>
  </conditionalFormatting>
  <conditionalFormatting sqref="BT61">
    <cfRule type="expression" dxfId="1035" priority="1365">
      <formula>BT61=""</formula>
    </cfRule>
  </conditionalFormatting>
  <conditionalFormatting sqref="BW60">
    <cfRule type="expression" dxfId="1034" priority="1466">
      <formula>BW60=""</formula>
    </cfRule>
  </conditionalFormatting>
  <conditionalFormatting sqref="BW61">
    <cfRule type="expression" dxfId="1033" priority="1362">
      <formula>BW61=""</formula>
    </cfRule>
  </conditionalFormatting>
  <conditionalFormatting sqref="BZ60">
    <cfRule type="expression" dxfId="1032" priority="1465">
      <formula>BZ60=""</formula>
    </cfRule>
  </conditionalFormatting>
  <conditionalFormatting sqref="BZ61">
    <cfRule type="expression" dxfId="1031" priority="1359">
      <formula>BZ61=""</formula>
    </cfRule>
  </conditionalFormatting>
  <conditionalFormatting sqref="CC60">
    <cfRule type="expression" dxfId="1030" priority="1464">
      <formula>CC60=""</formula>
    </cfRule>
  </conditionalFormatting>
  <conditionalFormatting sqref="CC61">
    <cfRule type="expression" dxfId="1029" priority="1356">
      <formula>CC61=""</formula>
    </cfRule>
  </conditionalFormatting>
  <conditionalFormatting sqref="CF60">
    <cfRule type="expression" dxfId="1028" priority="1463">
      <formula>CF60=""</formula>
    </cfRule>
  </conditionalFormatting>
  <conditionalFormatting sqref="CF61">
    <cfRule type="expression" dxfId="1027" priority="1353">
      <formula>CF61=""</formula>
    </cfRule>
  </conditionalFormatting>
  <conditionalFormatting sqref="CI60">
    <cfRule type="expression" dxfId="1026" priority="1462">
      <formula>CI60=""</formula>
    </cfRule>
  </conditionalFormatting>
  <conditionalFormatting sqref="CI61">
    <cfRule type="expression" dxfId="1025" priority="1350">
      <formula>CI61=""</formula>
    </cfRule>
  </conditionalFormatting>
  <conditionalFormatting sqref="CL60">
    <cfRule type="expression" dxfId="1024" priority="1461">
      <formula>CL60=""</formula>
    </cfRule>
  </conditionalFormatting>
  <conditionalFormatting sqref="CL61">
    <cfRule type="expression" dxfId="1023" priority="1347">
      <formula>CL61=""</formula>
    </cfRule>
  </conditionalFormatting>
  <conditionalFormatting sqref="CO60">
    <cfRule type="expression" dxfId="1022" priority="1460">
      <formula>CO60=""</formula>
    </cfRule>
  </conditionalFormatting>
  <conditionalFormatting sqref="CO61">
    <cfRule type="expression" dxfId="1021" priority="1344">
      <formula>CO61=""</formula>
    </cfRule>
  </conditionalFormatting>
  <conditionalFormatting sqref="I63">
    <cfRule type="expression" dxfId="1020" priority="1430">
      <formula>I63=""</formula>
    </cfRule>
  </conditionalFormatting>
  <conditionalFormatting sqref="L63">
    <cfRule type="expression" dxfId="1019" priority="1424">
      <formula>L63=""</formula>
    </cfRule>
  </conditionalFormatting>
  <conditionalFormatting sqref="O63">
    <cfRule type="expression" dxfId="1018" priority="1421">
      <formula>O63=""</formula>
    </cfRule>
  </conditionalFormatting>
  <conditionalFormatting sqref="R63">
    <cfRule type="expression" dxfId="1017" priority="1418">
      <formula>R63=""</formula>
    </cfRule>
  </conditionalFormatting>
  <conditionalFormatting sqref="U63">
    <cfRule type="expression" dxfId="1016" priority="1338">
      <formula>U63=""</formula>
    </cfRule>
  </conditionalFormatting>
  <conditionalFormatting sqref="X63">
    <cfRule type="expression" dxfId="1015" priority="1337">
      <formula>X63=""</formula>
    </cfRule>
  </conditionalFormatting>
  <conditionalFormatting sqref="AA63">
    <cfRule type="expression" dxfId="1014" priority="1409">
      <formula>AA63=""</formula>
    </cfRule>
  </conditionalFormatting>
  <conditionalFormatting sqref="AD63">
    <cfRule type="expression" dxfId="1013" priority="1406">
      <formula>AD63=""</formula>
    </cfRule>
  </conditionalFormatting>
  <conditionalFormatting sqref="AG63">
    <cfRule type="expression" dxfId="1012" priority="1403">
      <formula>AG63=""</formula>
    </cfRule>
  </conditionalFormatting>
  <conditionalFormatting sqref="AJ63">
    <cfRule type="expression" dxfId="1011" priority="1400">
      <formula>AJ63=""</formula>
    </cfRule>
  </conditionalFormatting>
  <conditionalFormatting sqref="AM63">
    <cfRule type="expression" dxfId="1010" priority="1397">
      <formula>AM63=""</formula>
    </cfRule>
  </conditionalFormatting>
  <conditionalFormatting sqref="AP63">
    <cfRule type="expression" dxfId="1009" priority="1394">
      <formula>AP63=""</formula>
    </cfRule>
  </conditionalFormatting>
  <conditionalFormatting sqref="AS63">
    <cfRule type="expression" dxfId="1008" priority="1391">
      <formula>AS63=""</formula>
    </cfRule>
  </conditionalFormatting>
  <conditionalFormatting sqref="AV63">
    <cfRule type="expression" dxfId="1007" priority="1388">
      <formula>AV63=""</formula>
    </cfRule>
  </conditionalFormatting>
  <conditionalFormatting sqref="AY63">
    <cfRule type="expression" dxfId="1006" priority="1385">
      <formula>AY63=""</formula>
    </cfRule>
  </conditionalFormatting>
  <conditionalFormatting sqref="BB63">
    <cfRule type="expression" dxfId="1005" priority="1382">
      <formula>BB63=""</formula>
    </cfRule>
  </conditionalFormatting>
  <conditionalFormatting sqref="BE63">
    <cfRule type="expression" dxfId="1004" priority="1379">
      <formula>BE63=""</formula>
    </cfRule>
  </conditionalFormatting>
  <conditionalFormatting sqref="BH63">
    <cfRule type="expression" dxfId="1003" priority="1376">
      <formula>BH63=""</formula>
    </cfRule>
  </conditionalFormatting>
  <conditionalFormatting sqref="BK63">
    <cfRule type="expression" dxfId="1002" priority="1373">
      <formula>BK63=""</formula>
    </cfRule>
  </conditionalFormatting>
  <conditionalFormatting sqref="BN63">
    <cfRule type="expression" dxfId="1001" priority="1370">
      <formula>BN63=""</formula>
    </cfRule>
  </conditionalFormatting>
  <conditionalFormatting sqref="BQ63">
    <cfRule type="expression" dxfId="1000" priority="1367">
      <formula>BQ63=""</formula>
    </cfRule>
  </conditionalFormatting>
  <conditionalFormatting sqref="BT63">
    <cfRule type="expression" dxfId="999" priority="1364">
      <formula>BT63=""</formula>
    </cfRule>
  </conditionalFormatting>
  <conditionalFormatting sqref="BW63">
    <cfRule type="expression" dxfId="998" priority="1361">
      <formula>BW63=""</formula>
    </cfRule>
  </conditionalFormatting>
  <conditionalFormatting sqref="BZ63">
    <cfRule type="expression" dxfId="997" priority="1358">
      <formula>BZ63=""</formula>
    </cfRule>
  </conditionalFormatting>
  <conditionalFormatting sqref="CC63">
    <cfRule type="expression" dxfId="996" priority="1355">
      <formula>CC63=""</formula>
    </cfRule>
  </conditionalFormatting>
  <conditionalFormatting sqref="CF63">
    <cfRule type="expression" dxfId="995" priority="1352">
      <formula>CF63=""</formula>
    </cfRule>
  </conditionalFormatting>
  <conditionalFormatting sqref="CI63">
    <cfRule type="expression" dxfId="994" priority="1349">
      <formula>CI63=""</formula>
    </cfRule>
  </conditionalFormatting>
  <conditionalFormatting sqref="CL63">
    <cfRule type="expression" dxfId="993" priority="1346">
      <formula>CL63=""</formula>
    </cfRule>
  </conditionalFormatting>
  <conditionalFormatting sqref="CO63">
    <cfRule type="expression" dxfId="992" priority="1343">
      <formula>CO63=""</formula>
    </cfRule>
  </conditionalFormatting>
  <conditionalFormatting sqref="I65:I66">
    <cfRule type="expression" dxfId="991" priority="1313">
      <formula>I65=""</formula>
    </cfRule>
  </conditionalFormatting>
  <conditionalFormatting sqref="L65:L66">
    <cfRule type="expression" dxfId="990" priority="1341">
      <formula>L65=""</formula>
    </cfRule>
  </conditionalFormatting>
  <conditionalFormatting sqref="O65:O66">
    <cfRule type="expression" dxfId="989" priority="1340">
      <formula>O65=""</formula>
    </cfRule>
  </conditionalFormatting>
  <conditionalFormatting sqref="R65:R66">
    <cfRule type="expression" dxfId="988" priority="1339">
      <formula>R65=""</formula>
    </cfRule>
  </conditionalFormatting>
  <conditionalFormatting sqref="U65:U66">
    <cfRule type="expression" dxfId="987" priority="1304">
      <formula>U65=""</formula>
    </cfRule>
  </conditionalFormatting>
  <conditionalFormatting sqref="X65:X66">
    <cfRule type="expression" dxfId="986" priority="1302">
      <formula>X65=""</formula>
    </cfRule>
  </conditionalFormatting>
  <conditionalFormatting sqref="AA65:AA66">
    <cfRule type="expression" dxfId="985" priority="1336">
      <formula>AA65=""</formula>
    </cfRule>
  </conditionalFormatting>
  <conditionalFormatting sqref="AD65:AD66">
    <cfRule type="expression" dxfId="984" priority="1335">
      <formula>AD65=""</formula>
    </cfRule>
  </conditionalFormatting>
  <conditionalFormatting sqref="AG65:AG66">
    <cfRule type="expression" dxfId="983" priority="1334">
      <formula>AG65=""</formula>
    </cfRule>
  </conditionalFormatting>
  <conditionalFormatting sqref="AJ65:AJ66">
    <cfRule type="expression" dxfId="982" priority="1333">
      <formula>AJ65=""</formula>
    </cfRule>
  </conditionalFormatting>
  <conditionalFormatting sqref="AM65:AM66">
    <cfRule type="expression" dxfId="981" priority="1332">
      <formula>AM65=""</formula>
    </cfRule>
  </conditionalFormatting>
  <conditionalFormatting sqref="AP65:AP66">
    <cfRule type="expression" dxfId="980" priority="1331">
      <formula>AP65=""</formula>
    </cfRule>
  </conditionalFormatting>
  <conditionalFormatting sqref="AS65:AS66">
    <cfRule type="expression" dxfId="979" priority="1330">
      <formula>AS65=""</formula>
    </cfRule>
  </conditionalFormatting>
  <conditionalFormatting sqref="AV65:AV66">
    <cfRule type="expression" dxfId="978" priority="1329">
      <formula>AV65=""</formula>
    </cfRule>
  </conditionalFormatting>
  <conditionalFormatting sqref="AY65:AY66">
    <cfRule type="expression" dxfId="977" priority="1328">
      <formula>AY65=""</formula>
    </cfRule>
  </conditionalFormatting>
  <conditionalFormatting sqref="BB65:BB66">
    <cfRule type="expression" dxfId="976" priority="1327">
      <formula>BB65=""</formula>
    </cfRule>
  </conditionalFormatting>
  <conditionalFormatting sqref="BE65:BE66">
    <cfRule type="expression" dxfId="975" priority="1326">
      <formula>BE65=""</formula>
    </cfRule>
  </conditionalFormatting>
  <conditionalFormatting sqref="BH65:BH66">
    <cfRule type="expression" dxfId="974" priority="1325">
      <formula>BH65=""</formula>
    </cfRule>
  </conditionalFormatting>
  <conditionalFormatting sqref="BK65:BK66">
    <cfRule type="expression" dxfId="973" priority="1324">
      <formula>BK65=""</formula>
    </cfRule>
  </conditionalFormatting>
  <conditionalFormatting sqref="BN65:BN66">
    <cfRule type="expression" dxfId="972" priority="1323">
      <formula>BN65=""</formula>
    </cfRule>
  </conditionalFormatting>
  <conditionalFormatting sqref="BQ65:BQ66">
    <cfRule type="expression" dxfId="971" priority="1322">
      <formula>BQ65=""</formula>
    </cfRule>
  </conditionalFormatting>
  <conditionalFormatting sqref="BT65:BT66">
    <cfRule type="expression" dxfId="970" priority="1321">
      <formula>BT65=""</formula>
    </cfRule>
  </conditionalFormatting>
  <conditionalFormatting sqref="BW65:BW66">
    <cfRule type="expression" dxfId="969" priority="1320">
      <formula>BW65=""</formula>
    </cfRule>
  </conditionalFormatting>
  <conditionalFormatting sqref="BZ65:BZ66">
    <cfRule type="expression" dxfId="968" priority="1319">
      <formula>BZ65=""</formula>
    </cfRule>
  </conditionalFormatting>
  <conditionalFormatting sqref="CC65:CC66">
    <cfRule type="expression" dxfId="967" priority="1318">
      <formula>CC65=""</formula>
    </cfRule>
  </conditionalFormatting>
  <conditionalFormatting sqref="CF65:CF66">
    <cfRule type="expression" dxfId="966" priority="1317">
      <formula>CF65=""</formula>
    </cfRule>
  </conditionalFormatting>
  <conditionalFormatting sqref="CI65:CI66">
    <cfRule type="expression" dxfId="965" priority="1316">
      <formula>CI65=""</formula>
    </cfRule>
  </conditionalFormatting>
  <conditionalFormatting sqref="CL65:CL66">
    <cfRule type="expression" dxfId="964" priority="1315">
      <formula>CL65=""</formula>
    </cfRule>
  </conditionalFormatting>
  <conditionalFormatting sqref="CO65:CO66">
    <cfRule type="expression" dxfId="963" priority="1314">
      <formula>CO65=""</formula>
    </cfRule>
  </conditionalFormatting>
  <conditionalFormatting sqref="I70">
    <cfRule type="expression" dxfId="962" priority="1427">
      <formula>I70=""</formula>
    </cfRule>
  </conditionalFormatting>
  <conditionalFormatting sqref="L70">
    <cfRule type="expression" dxfId="961" priority="1309">
      <formula>L70=""</formula>
    </cfRule>
  </conditionalFormatting>
  <conditionalFormatting sqref="O70">
    <cfRule type="expression" dxfId="960" priority="1308">
      <formula>O70=""</formula>
    </cfRule>
  </conditionalFormatting>
  <conditionalFormatting sqref="R70">
    <cfRule type="expression" dxfId="959" priority="1306">
      <formula>R70=""</formula>
    </cfRule>
  </conditionalFormatting>
  <conditionalFormatting sqref="U70">
    <cfRule type="expression" dxfId="958" priority="1249">
      <formula>U70=""</formula>
    </cfRule>
  </conditionalFormatting>
  <conditionalFormatting sqref="X70">
    <cfRule type="expression" dxfId="957" priority="1248">
      <formula>X70=""</formula>
    </cfRule>
  </conditionalFormatting>
  <conditionalFormatting sqref="AA70">
    <cfRule type="expression" dxfId="956" priority="1300">
      <formula>AA70=""</formula>
    </cfRule>
  </conditionalFormatting>
  <conditionalFormatting sqref="AD70">
    <cfRule type="expression" dxfId="955" priority="1298">
      <formula>AD70=""</formula>
    </cfRule>
  </conditionalFormatting>
  <conditionalFormatting sqref="AG70">
    <cfRule type="expression" dxfId="954" priority="1296">
      <formula>AG70=""</formula>
    </cfRule>
  </conditionalFormatting>
  <conditionalFormatting sqref="AJ70">
    <cfRule type="expression" dxfId="953" priority="1294">
      <formula>AJ70=""</formula>
    </cfRule>
  </conditionalFormatting>
  <conditionalFormatting sqref="AM70">
    <cfRule type="expression" dxfId="952" priority="1292">
      <formula>AM70=""</formula>
    </cfRule>
  </conditionalFormatting>
  <conditionalFormatting sqref="AP70">
    <cfRule type="expression" dxfId="951" priority="1288">
      <formula>AP70=""</formula>
    </cfRule>
  </conditionalFormatting>
  <conditionalFormatting sqref="AS70">
    <cfRule type="expression" dxfId="950" priority="1286">
      <formula>AS70=""</formula>
    </cfRule>
  </conditionalFormatting>
  <conditionalFormatting sqref="AV70">
    <cfRule type="expression" dxfId="949" priority="1284">
      <formula>AV70=""</formula>
    </cfRule>
  </conditionalFormatting>
  <conditionalFormatting sqref="AY70">
    <cfRule type="expression" dxfId="948" priority="1282">
      <formula>AY70=""</formula>
    </cfRule>
  </conditionalFormatting>
  <conditionalFormatting sqref="BB70">
    <cfRule type="expression" dxfId="947" priority="1280">
      <formula>BB70=""</formula>
    </cfRule>
  </conditionalFormatting>
  <conditionalFormatting sqref="BE70">
    <cfRule type="expression" dxfId="946" priority="1278">
      <formula>BE70=""</formula>
    </cfRule>
  </conditionalFormatting>
  <conditionalFormatting sqref="BH70">
    <cfRule type="expression" dxfId="945" priority="1276">
      <formula>BH70=""</formula>
    </cfRule>
  </conditionalFormatting>
  <conditionalFormatting sqref="BK70">
    <cfRule type="expression" dxfId="944" priority="1274">
      <formula>BK70=""</formula>
    </cfRule>
  </conditionalFormatting>
  <conditionalFormatting sqref="BN70">
    <cfRule type="expression" dxfId="943" priority="1272">
      <formula>BN70=""</formula>
    </cfRule>
  </conditionalFormatting>
  <conditionalFormatting sqref="BQ70">
    <cfRule type="expression" dxfId="942" priority="1270">
      <formula>BQ70=""</formula>
    </cfRule>
  </conditionalFormatting>
  <conditionalFormatting sqref="BT70">
    <cfRule type="expression" dxfId="941" priority="1268">
      <formula>BT70=""</formula>
    </cfRule>
  </conditionalFormatting>
  <conditionalFormatting sqref="BW70">
    <cfRule type="expression" dxfId="940" priority="1266">
      <formula>BW70=""</formula>
    </cfRule>
  </conditionalFormatting>
  <conditionalFormatting sqref="BZ70">
    <cfRule type="expression" dxfId="939" priority="1264">
      <formula>BZ70=""</formula>
    </cfRule>
  </conditionalFormatting>
  <conditionalFormatting sqref="CC70">
    <cfRule type="expression" dxfId="938" priority="1262">
      <formula>CC70=""</formula>
    </cfRule>
  </conditionalFormatting>
  <conditionalFormatting sqref="CF70">
    <cfRule type="expression" dxfId="937" priority="1260">
      <formula>CF70=""</formula>
    </cfRule>
  </conditionalFormatting>
  <conditionalFormatting sqref="CI70">
    <cfRule type="expression" dxfId="936" priority="1258">
      <formula>CI70=""</formula>
    </cfRule>
  </conditionalFormatting>
  <conditionalFormatting sqref="CL70">
    <cfRule type="expression" dxfId="935" priority="1256">
      <formula>CL70=""</formula>
    </cfRule>
  </conditionalFormatting>
  <conditionalFormatting sqref="CO70">
    <cfRule type="expression" dxfId="934" priority="1254">
      <formula>CO70=""</formula>
    </cfRule>
  </conditionalFormatting>
  <conditionalFormatting sqref="I72">
    <cfRule type="expression" dxfId="933" priority="1224">
      <formula>I72=""</formula>
    </cfRule>
  </conditionalFormatting>
  <conditionalFormatting sqref="I73">
    <cfRule type="expression" dxfId="932" priority="1223">
      <formula>I73=""</formula>
    </cfRule>
  </conditionalFormatting>
  <conditionalFormatting sqref="I76">
    <cfRule type="expression" dxfId="931" priority="1222">
      <formula>I76=""</formula>
    </cfRule>
  </conditionalFormatting>
  <conditionalFormatting sqref="L72">
    <cfRule type="expression" dxfId="930" priority="1252">
      <formula>L72=""</formula>
    </cfRule>
  </conditionalFormatting>
  <conditionalFormatting sqref="L73">
    <cfRule type="expression" dxfId="929" priority="1219">
      <formula>L73=""</formula>
    </cfRule>
  </conditionalFormatting>
  <conditionalFormatting sqref="L76">
    <cfRule type="expression" dxfId="928" priority="1218">
      <formula>L76=""</formula>
    </cfRule>
  </conditionalFormatting>
  <conditionalFormatting sqref="O72">
    <cfRule type="expression" dxfId="927" priority="1251">
      <formula>O72=""</formula>
    </cfRule>
  </conditionalFormatting>
  <conditionalFormatting sqref="O73">
    <cfRule type="expression" dxfId="926" priority="1215">
      <formula>O73=""</formula>
    </cfRule>
  </conditionalFormatting>
  <conditionalFormatting sqref="O76">
    <cfRule type="expression" dxfId="925" priority="1214">
      <formula>O76=""</formula>
    </cfRule>
  </conditionalFormatting>
  <conditionalFormatting sqref="R72">
    <cfRule type="expression" dxfId="924" priority="1250">
      <formula>R72=""</formula>
    </cfRule>
  </conditionalFormatting>
  <conditionalFormatting sqref="R73">
    <cfRule type="expression" dxfId="923" priority="1211">
      <formula>R73=""</formula>
    </cfRule>
  </conditionalFormatting>
  <conditionalFormatting sqref="R76">
    <cfRule type="expression" dxfId="922" priority="1210">
      <formula>R76=""</formula>
    </cfRule>
  </conditionalFormatting>
  <conditionalFormatting sqref="U72">
    <cfRule type="expression" dxfId="921" priority="1207">
      <formula>U72=""</formula>
    </cfRule>
  </conditionalFormatting>
  <conditionalFormatting sqref="U73">
    <cfRule type="expression" dxfId="920" priority="1206">
      <formula>U73=""</formula>
    </cfRule>
  </conditionalFormatting>
  <conditionalFormatting sqref="U76">
    <cfRule type="expression" dxfId="919" priority="1205">
      <formula>U76=""</formula>
    </cfRule>
  </conditionalFormatting>
  <conditionalFormatting sqref="X72">
    <cfRule type="expression" dxfId="918" priority="1203">
      <formula>X72=""</formula>
    </cfRule>
  </conditionalFormatting>
  <conditionalFormatting sqref="X73">
    <cfRule type="expression" dxfId="917" priority="1202">
      <formula>X73=""</formula>
    </cfRule>
  </conditionalFormatting>
  <conditionalFormatting sqref="X76">
    <cfRule type="expression" dxfId="916" priority="1201">
      <formula>X76=""</formula>
    </cfRule>
  </conditionalFormatting>
  <conditionalFormatting sqref="AA72">
    <cfRule type="expression" dxfId="915" priority="1247">
      <formula>AA72=""</formula>
    </cfRule>
  </conditionalFormatting>
  <conditionalFormatting sqref="AA73">
    <cfRule type="expression" dxfId="914" priority="1199">
      <formula>AA73=""</formula>
    </cfRule>
  </conditionalFormatting>
  <conditionalFormatting sqref="AA76">
    <cfRule type="expression" dxfId="913" priority="1198">
      <formula>AA76=""</formula>
    </cfRule>
  </conditionalFormatting>
  <conditionalFormatting sqref="AD72">
    <cfRule type="expression" dxfId="912" priority="1246">
      <formula>AD72=""</formula>
    </cfRule>
  </conditionalFormatting>
  <conditionalFormatting sqref="AD73">
    <cfRule type="expression" dxfId="911" priority="1195">
      <formula>AD73=""</formula>
    </cfRule>
  </conditionalFormatting>
  <conditionalFormatting sqref="AD76">
    <cfRule type="expression" dxfId="910" priority="1194">
      <formula>AD76=""</formula>
    </cfRule>
  </conditionalFormatting>
  <conditionalFormatting sqref="AG72">
    <cfRule type="expression" dxfId="909" priority="1245">
      <formula>AG72=""</formula>
    </cfRule>
  </conditionalFormatting>
  <conditionalFormatting sqref="AG73">
    <cfRule type="expression" dxfId="908" priority="1191">
      <formula>AG73=""</formula>
    </cfRule>
  </conditionalFormatting>
  <conditionalFormatting sqref="AG76">
    <cfRule type="expression" dxfId="907" priority="1190">
      <formula>AG76=""</formula>
    </cfRule>
  </conditionalFormatting>
  <conditionalFormatting sqref="AJ72">
    <cfRule type="expression" dxfId="906" priority="1244">
      <formula>AJ72=""</formula>
    </cfRule>
  </conditionalFormatting>
  <conditionalFormatting sqref="AJ73">
    <cfRule type="expression" dxfId="905" priority="1187">
      <formula>AJ73=""</formula>
    </cfRule>
  </conditionalFormatting>
  <conditionalFormatting sqref="AJ76">
    <cfRule type="expression" dxfId="904" priority="1186">
      <formula>AJ76=""</formula>
    </cfRule>
  </conditionalFormatting>
  <conditionalFormatting sqref="AM72">
    <cfRule type="expression" dxfId="903" priority="1243">
      <formula>AM72=""</formula>
    </cfRule>
  </conditionalFormatting>
  <conditionalFormatting sqref="AM73">
    <cfRule type="expression" dxfId="902" priority="1183">
      <formula>AM73=""</formula>
    </cfRule>
  </conditionalFormatting>
  <conditionalFormatting sqref="AM76">
    <cfRule type="expression" dxfId="901" priority="1182">
      <formula>AM76=""</formula>
    </cfRule>
  </conditionalFormatting>
  <conditionalFormatting sqref="AP72">
    <cfRule type="expression" dxfId="900" priority="1242">
      <formula>AP72=""</formula>
    </cfRule>
  </conditionalFormatting>
  <conditionalFormatting sqref="AP73">
    <cfRule type="expression" dxfId="899" priority="1179">
      <formula>AP73=""</formula>
    </cfRule>
  </conditionalFormatting>
  <conditionalFormatting sqref="AP76">
    <cfRule type="expression" dxfId="898" priority="1178">
      <formula>AP76=""</formula>
    </cfRule>
  </conditionalFormatting>
  <conditionalFormatting sqref="AS72">
    <cfRule type="expression" dxfId="897" priority="1241">
      <formula>AS72=""</formula>
    </cfRule>
  </conditionalFormatting>
  <conditionalFormatting sqref="AS73">
    <cfRule type="expression" dxfId="896" priority="1175">
      <formula>AS73=""</formula>
    </cfRule>
  </conditionalFormatting>
  <conditionalFormatting sqref="AS76">
    <cfRule type="expression" dxfId="895" priority="1174">
      <formula>AS76=""</formula>
    </cfRule>
  </conditionalFormatting>
  <conditionalFormatting sqref="AV72">
    <cfRule type="expression" dxfId="894" priority="1240">
      <formula>AV72=""</formula>
    </cfRule>
  </conditionalFormatting>
  <conditionalFormatting sqref="AV73">
    <cfRule type="expression" dxfId="893" priority="1171">
      <formula>AV73=""</formula>
    </cfRule>
  </conditionalFormatting>
  <conditionalFormatting sqref="AV76">
    <cfRule type="expression" dxfId="892" priority="1170">
      <formula>AV76=""</formula>
    </cfRule>
  </conditionalFormatting>
  <conditionalFormatting sqref="AY72">
    <cfRule type="expression" dxfId="891" priority="1239">
      <formula>AY72=""</formula>
    </cfRule>
  </conditionalFormatting>
  <conditionalFormatting sqref="AY73">
    <cfRule type="expression" dxfId="890" priority="1167">
      <formula>AY73=""</formula>
    </cfRule>
  </conditionalFormatting>
  <conditionalFormatting sqref="AY76">
    <cfRule type="expression" dxfId="889" priority="1166">
      <formula>AY76=""</formula>
    </cfRule>
  </conditionalFormatting>
  <conditionalFormatting sqref="BB72">
    <cfRule type="expression" dxfId="888" priority="1238">
      <formula>BB72=""</formula>
    </cfRule>
  </conditionalFormatting>
  <conditionalFormatting sqref="BB73">
    <cfRule type="expression" dxfId="887" priority="1163">
      <formula>BB73=""</formula>
    </cfRule>
  </conditionalFormatting>
  <conditionalFormatting sqref="BB76">
    <cfRule type="expression" dxfId="886" priority="1162">
      <formula>BB76=""</formula>
    </cfRule>
  </conditionalFormatting>
  <conditionalFormatting sqref="BE72">
    <cfRule type="expression" dxfId="885" priority="1237">
      <formula>BE72=""</formula>
    </cfRule>
  </conditionalFormatting>
  <conditionalFormatting sqref="BE73">
    <cfRule type="expression" dxfId="884" priority="1159">
      <formula>BE73=""</formula>
    </cfRule>
  </conditionalFormatting>
  <conditionalFormatting sqref="BE76">
    <cfRule type="expression" dxfId="883" priority="1158">
      <formula>BE76=""</formula>
    </cfRule>
  </conditionalFormatting>
  <conditionalFormatting sqref="BH72">
    <cfRule type="expression" dxfId="882" priority="1236">
      <formula>BH72=""</formula>
    </cfRule>
  </conditionalFormatting>
  <conditionalFormatting sqref="BH73">
    <cfRule type="expression" dxfId="881" priority="1155">
      <formula>BH73=""</formula>
    </cfRule>
  </conditionalFormatting>
  <conditionalFormatting sqref="BH76">
    <cfRule type="expression" dxfId="880" priority="1154">
      <formula>BH76=""</formula>
    </cfRule>
  </conditionalFormatting>
  <conditionalFormatting sqref="BK72">
    <cfRule type="expression" dxfId="879" priority="1235">
      <formula>BK72=""</formula>
    </cfRule>
  </conditionalFormatting>
  <conditionalFormatting sqref="BK73">
    <cfRule type="expression" dxfId="878" priority="1151">
      <formula>BK73=""</formula>
    </cfRule>
  </conditionalFormatting>
  <conditionalFormatting sqref="BK76">
    <cfRule type="expression" dxfId="877" priority="1150">
      <formula>BK76=""</formula>
    </cfRule>
  </conditionalFormatting>
  <conditionalFormatting sqref="BN72">
    <cfRule type="expression" dxfId="876" priority="1234">
      <formula>BN72=""</formula>
    </cfRule>
  </conditionalFormatting>
  <conditionalFormatting sqref="BN73">
    <cfRule type="expression" dxfId="875" priority="1147">
      <formula>BN73=""</formula>
    </cfRule>
  </conditionalFormatting>
  <conditionalFormatting sqref="BN76">
    <cfRule type="expression" dxfId="874" priority="1146">
      <formula>BN76=""</formula>
    </cfRule>
  </conditionalFormatting>
  <conditionalFormatting sqref="BQ72">
    <cfRule type="expression" dxfId="873" priority="1233">
      <formula>BQ72=""</formula>
    </cfRule>
  </conditionalFormatting>
  <conditionalFormatting sqref="BQ73">
    <cfRule type="expression" dxfId="872" priority="1143">
      <formula>BQ73=""</formula>
    </cfRule>
  </conditionalFormatting>
  <conditionalFormatting sqref="BQ76">
    <cfRule type="expression" dxfId="871" priority="1142">
      <formula>BQ76=""</formula>
    </cfRule>
  </conditionalFormatting>
  <conditionalFormatting sqref="BT72">
    <cfRule type="expression" dxfId="870" priority="1232">
      <formula>BT72=""</formula>
    </cfRule>
  </conditionalFormatting>
  <conditionalFormatting sqref="BT73">
    <cfRule type="expression" dxfId="869" priority="1139">
      <formula>BT73=""</formula>
    </cfRule>
  </conditionalFormatting>
  <conditionalFormatting sqref="BT76">
    <cfRule type="expression" dxfId="868" priority="1138">
      <formula>BT76=""</formula>
    </cfRule>
  </conditionalFormatting>
  <conditionalFormatting sqref="BW72">
    <cfRule type="expression" dxfId="867" priority="1231">
      <formula>BW72=""</formula>
    </cfRule>
  </conditionalFormatting>
  <conditionalFormatting sqref="BW73">
    <cfRule type="expression" dxfId="866" priority="1135">
      <formula>BW73=""</formula>
    </cfRule>
  </conditionalFormatting>
  <conditionalFormatting sqref="BW76">
    <cfRule type="expression" dxfId="865" priority="1134">
      <formula>BW76=""</formula>
    </cfRule>
  </conditionalFormatting>
  <conditionalFormatting sqref="BZ72">
    <cfRule type="expression" dxfId="864" priority="1230">
      <formula>BZ72=""</formula>
    </cfRule>
  </conditionalFormatting>
  <conditionalFormatting sqref="BZ73">
    <cfRule type="expression" dxfId="863" priority="1131">
      <formula>BZ73=""</formula>
    </cfRule>
  </conditionalFormatting>
  <conditionalFormatting sqref="BZ76">
    <cfRule type="expression" dxfId="862" priority="1130">
      <formula>BZ76=""</formula>
    </cfRule>
  </conditionalFormatting>
  <conditionalFormatting sqref="CC72">
    <cfRule type="expression" dxfId="861" priority="1229">
      <formula>CC72=""</formula>
    </cfRule>
  </conditionalFormatting>
  <conditionalFormatting sqref="CC73">
    <cfRule type="expression" dxfId="860" priority="1127">
      <formula>CC73=""</formula>
    </cfRule>
  </conditionalFormatting>
  <conditionalFormatting sqref="CC76">
    <cfRule type="expression" dxfId="859" priority="1126">
      <formula>CC76=""</formula>
    </cfRule>
  </conditionalFormatting>
  <conditionalFormatting sqref="CF72">
    <cfRule type="expression" dxfId="858" priority="1228">
      <formula>CF72=""</formula>
    </cfRule>
  </conditionalFormatting>
  <conditionalFormatting sqref="CF73">
    <cfRule type="expression" dxfId="857" priority="1123">
      <formula>CF73=""</formula>
    </cfRule>
  </conditionalFormatting>
  <conditionalFormatting sqref="CF76">
    <cfRule type="expression" dxfId="856" priority="1122">
      <formula>CF76=""</formula>
    </cfRule>
  </conditionalFormatting>
  <conditionalFormatting sqref="CI72">
    <cfRule type="expression" dxfId="855" priority="1227">
      <formula>CI72=""</formula>
    </cfRule>
  </conditionalFormatting>
  <conditionalFormatting sqref="CI73">
    <cfRule type="expression" dxfId="854" priority="1119">
      <formula>CI73=""</formula>
    </cfRule>
  </conditionalFormatting>
  <conditionalFormatting sqref="CI76">
    <cfRule type="expression" dxfId="853" priority="1118">
      <formula>CI76=""</formula>
    </cfRule>
  </conditionalFormatting>
  <conditionalFormatting sqref="CL72">
    <cfRule type="expression" dxfId="852" priority="1226">
      <formula>CL72=""</formula>
    </cfRule>
  </conditionalFormatting>
  <conditionalFormatting sqref="CL73">
    <cfRule type="expression" dxfId="851" priority="1115">
      <formula>CL73=""</formula>
    </cfRule>
  </conditionalFormatting>
  <conditionalFormatting sqref="CL76">
    <cfRule type="expression" dxfId="850" priority="1114">
      <formula>CL76=""</formula>
    </cfRule>
  </conditionalFormatting>
  <conditionalFormatting sqref="CO72">
    <cfRule type="expression" dxfId="849" priority="1225">
      <formula>CO72=""</formula>
    </cfRule>
  </conditionalFormatting>
  <conditionalFormatting sqref="CO73">
    <cfRule type="expression" dxfId="848" priority="1111">
      <formula>CO73=""</formula>
    </cfRule>
  </conditionalFormatting>
  <conditionalFormatting sqref="CO76">
    <cfRule type="expression" dxfId="847" priority="1110">
      <formula>CO76=""</formula>
    </cfRule>
  </conditionalFormatting>
  <conditionalFormatting sqref="F80:CQ82">
    <cfRule type="expression" dxfId="846" priority="1603">
      <formula>F80=""</formula>
    </cfRule>
  </conditionalFormatting>
  <conditionalFormatting sqref="F84:CQ87">
    <cfRule type="expression" dxfId="845" priority="1488">
      <formula>F84=""</formula>
    </cfRule>
  </conditionalFormatting>
  <conditionalFormatting sqref="F89:CQ89">
    <cfRule type="expression" dxfId="844" priority="1020">
      <formula>F89=""</formula>
    </cfRule>
  </conditionalFormatting>
  <conditionalFormatting sqref="CO13 CO15 CL13 CL15 CI13 CI15 CF15 CF13 CC13 CC15 BZ13 BZ15 BW15 BW13 BT13 BT15 BQ15 BQ13 BN13 BN15 BK15 BK13 BH13 BH15 BE13 BE15 BB13 BB15 AY15 AY13 AV13 AV15 AS15 AS13 AP13 AP15 AM13 AM15 AJ15 AJ13 AG13 AG15 AD13 AD15 AA15 AA13 X13 X15 U13 U15 R15 R13 O13 O15 L13 L15 I13 I15 F13 F15">
    <cfRule type="iconSet" priority="972">
      <iconSet iconSet="3Symbols" showValue="0">
        <cfvo type="percent" val="0"/>
        <cfvo type="num" val="0"/>
        <cfvo type="num" val="1"/>
      </iconSet>
    </cfRule>
  </conditionalFormatting>
  <conditionalFormatting sqref="I37 L37 O37 R37 U37 X37 AA37 AD37 AG37 AJ37 AM37 AP37 AS37 AV37 AY37 BB37 BE37 BH37 BK37 BN37 BQ37 BT37 BW37 BZ37 CC37 CF37 CI37 CL37 CO37">
    <cfRule type="iconSet" priority="824">
      <iconSet iconSet="3Symbols" showValue="0">
        <cfvo type="percent" val="0"/>
        <cfvo type="num" val="0"/>
        <cfvo type="num" val="1"/>
      </iconSet>
    </cfRule>
  </conditionalFormatting>
  <conditionalFormatting sqref="I44 L44 O44 R44 U44 X44 AA44 AD44 AG44 AJ44 AM44 AP44 AS44 AV44 AY44 BB44 BE44 BH44 BK44 BN44 BQ44 BT44 BW44 BZ44 CC44 CF44 CI44 CL44 CO44">
    <cfRule type="iconSet" priority="894">
      <iconSet iconSet="3Symbols" showValue="0">
        <cfvo type="percent" val="0"/>
        <cfvo type="num" val="0"/>
        <cfvo type="num" val="1"/>
      </iconSet>
    </cfRule>
  </conditionalFormatting>
  <conditionalFormatting sqref="I49 L49 O49 R49 U49 X49 AA49 AD49 AG49 AJ49 AM49 AP49 AS49 AV49 AY49 BB49 BE49 BH49 BK49 BN49 BQ49 BT49 BW49 BZ49 CC49 CF49 CI49 CL49 CO49">
    <cfRule type="iconSet" priority="891">
      <iconSet iconSet="3Symbols" showValue="0">
        <cfvo type="percent" val="0"/>
        <cfvo type="num" val="0"/>
        <cfvo type="num" val="1"/>
      </iconSet>
    </cfRule>
  </conditionalFormatting>
  <conditionalFormatting sqref="I52 L52 O52 R52 U52 X52 AA52 AD52 AG52 AJ52 AM52 AP52 AS52 AV52 AY52 BB52 BE52 BH52 BK52 BN52 BQ52 BT52 BW52 BZ52 CC52 CF52 CI52 CL52 CO52">
    <cfRule type="iconSet" priority="889">
      <iconSet iconSet="3Symbols" showValue="0">
        <cfvo type="percent" val="0"/>
        <cfvo type="num" val="0"/>
        <cfvo type="num" val="1"/>
      </iconSet>
    </cfRule>
  </conditionalFormatting>
  <conditionalFormatting sqref="I57 L57 O57 R57 U57 X57 AA57 AD57 AG57 AJ57 AM57 AP57 AS57 AV57 AY57 BB57 BE57 BH57 BK57 BN57 BQ57 BT57 BW57 BZ57 CC57 CF57 CI57 CL57 CO57">
    <cfRule type="iconSet" priority="820">
      <iconSet iconSet="3Symbols" showValue="0">
        <cfvo type="percent" val="0"/>
        <cfvo type="num" val="0"/>
        <cfvo type="num" val="1"/>
      </iconSet>
    </cfRule>
  </conditionalFormatting>
  <conditionalFormatting sqref="I78 L78 O78 R78 U78 X78 AA78 AD78 AG78 AJ78 AM78 AP78 AS78 AV78 AY78 BB78 BE78 BH78 BK78 BN78 BQ78 BT78 BW78 BZ78 CC78 CF78 CI78 CL78 CO78">
    <cfRule type="iconSet" priority="887">
      <iconSet iconSet="3Symbols" showValue="0">
        <cfvo type="percent" val="0"/>
        <cfvo type="num" val="0"/>
        <cfvo type="num" val="1"/>
      </iconSet>
    </cfRule>
  </conditionalFormatting>
  <conditionalFormatting sqref="I83 L83 O83 R83 U83 X83 AA83 AD83 AG83 AJ83 AM83 AP83 AS83 AV83 AY83 BB83 BE83 BH83 BK83 BN83 BQ83 BT83 BW83 BZ83 CC83 CF83 CI83 CL83 CO83">
    <cfRule type="iconSet" priority="818">
      <iconSet iconSet="3Symbols" showValue="0">
        <cfvo type="percent" val="0"/>
        <cfvo type="num" val="0"/>
        <cfvo type="num" val="1"/>
      </iconSet>
    </cfRule>
  </conditionalFormatting>
  <conditionalFormatting sqref="I88 L88 O88 R88 U88 X88 AA88 AD88 AG88 AJ88 AM88 AP88 AS88 AV88 AY88 BB88 BE88 BH88 BK88 BN88 BQ88 BT88 BW88 BZ88 CC88 CF88 CI88 CL88 CO88">
    <cfRule type="iconSet" priority="817">
      <iconSet iconSet="3Symbols" showValue="0">
        <cfvo type="percent" val="0"/>
        <cfvo type="num" val="0"/>
        <cfvo type="num" val="1"/>
      </iconSet>
    </cfRule>
  </conditionalFormatting>
  <conditionalFormatting sqref="F90 I90 L90 O90 R90 U90 X90 AA90 AD90 AG90 AJ90 AM90 AP90 AS90 AV90 AY90 BB90 BE90 BH90 BK90 BN90 BQ90 BT90 BW90 BZ90 CC90 CF90 CI90 CL90 CO90">
    <cfRule type="iconSet" priority="896">
      <iconSet iconSet="3Symbols" showValue="0">
        <cfvo type="percent" val="0"/>
        <cfvo type="num" val="0"/>
        <cfvo type="num" val="1"/>
      </iconSet>
    </cfRule>
  </conditionalFormatting>
  <conditionalFormatting sqref="F92:CQ92">
    <cfRule type="expression" dxfId="843" priority="33">
      <formula>F$92&lt;&gt;""</formula>
    </cfRule>
    <cfRule type="expression" dxfId="842" priority="885">
      <formula>ISERROR(SEARCH("items",F91))=FALSE</formula>
    </cfRule>
  </conditionalFormatting>
  <conditionalFormatting sqref="D24:D28">
    <cfRule type="expression" dxfId="841" priority="634">
      <formula>E24&lt;&gt;""</formula>
    </cfRule>
  </conditionalFormatting>
  <conditionalFormatting sqref="I29">
    <cfRule type="iconSet" priority="573">
      <iconSet iconSet="3Symbols" showValue="0">
        <cfvo type="percent" val="0"/>
        <cfvo type="num" val="0"/>
        <cfvo type="num" val="1"/>
      </iconSet>
    </cfRule>
  </conditionalFormatting>
  <conditionalFormatting sqref="L29">
    <cfRule type="iconSet" priority="571">
      <iconSet iconSet="3Symbols" showValue="0">
        <cfvo type="percent" val="0"/>
        <cfvo type="num" val="0"/>
        <cfvo type="num" val="1"/>
      </iconSet>
    </cfRule>
  </conditionalFormatting>
  <conditionalFormatting sqref="O29">
    <cfRule type="iconSet" priority="570">
      <iconSet iconSet="3Symbols" showValue="0">
        <cfvo type="percent" val="0"/>
        <cfvo type="num" val="0"/>
        <cfvo type="num" val="1"/>
      </iconSet>
    </cfRule>
  </conditionalFormatting>
  <conditionalFormatting sqref="R29">
    <cfRule type="iconSet" priority="569">
      <iconSet iconSet="3Symbols" showValue="0">
        <cfvo type="percent" val="0"/>
        <cfvo type="num" val="0"/>
        <cfvo type="num" val="1"/>
      </iconSet>
    </cfRule>
  </conditionalFormatting>
  <conditionalFormatting sqref="U29">
    <cfRule type="iconSet" priority="568">
      <iconSet iconSet="3Symbols" showValue="0">
        <cfvo type="percent" val="0"/>
        <cfvo type="num" val="0"/>
        <cfvo type="num" val="1"/>
      </iconSet>
    </cfRule>
  </conditionalFormatting>
  <conditionalFormatting sqref="X29">
    <cfRule type="iconSet" priority="567">
      <iconSet iconSet="3Symbols" showValue="0">
        <cfvo type="percent" val="0"/>
        <cfvo type="num" val="0"/>
        <cfvo type="num" val="1"/>
      </iconSet>
    </cfRule>
  </conditionalFormatting>
  <conditionalFormatting sqref="AA29">
    <cfRule type="iconSet" priority="566">
      <iconSet iconSet="3Symbols" showValue="0">
        <cfvo type="percent" val="0"/>
        <cfvo type="num" val="0"/>
        <cfvo type="num" val="1"/>
      </iconSet>
    </cfRule>
  </conditionalFormatting>
  <conditionalFormatting sqref="AD29">
    <cfRule type="iconSet" priority="565">
      <iconSet iconSet="3Symbols" showValue="0">
        <cfvo type="percent" val="0"/>
        <cfvo type="num" val="0"/>
        <cfvo type="num" val="1"/>
      </iconSet>
    </cfRule>
  </conditionalFormatting>
  <conditionalFormatting sqref="AG29">
    <cfRule type="iconSet" priority="564">
      <iconSet iconSet="3Symbols" showValue="0">
        <cfvo type="percent" val="0"/>
        <cfvo type="num" val="0"/>
        <cfvo type="num" val="1"/>
      </iconSet>
    </cfRule>
  </conditionalFormatting>
  <conditionalFormatting sqref="AJ29">
    <cfRule type="iconSet" priority="563">
      <iconSet iconSet="3Symbols" showValue="0">
        <cfvo type="percent" val="0"/>
        <cfvo type="num" val="0"/>
        <cfvo type="num" val="1"/>
      </iconSet>
    </cfRule>
  </conditionalFormatting>
  <conditionalFormatting sqref="AM29">
    <cfRule type="iconSet" priority="562">
      <iconSet iconSet="3Symbols" showValue="0">
        <cfvo type="percent" val="0"/>
        <cfvo type="num" val="0"/>
        <cfvo type="num" val="1"/>
      </iconSet>
    </cfRule>
  </conditionalFormatting>
  <conditionalFormatting sqref="AP29">
    <cfRule type="iconSet" priority="561">
      <iconSet iconSet="3Symbols" showValue="0">
        <cfvo type="percent" val="0"/>
        <cfvo type="num" val="0"/>
        <cfvo type="num" val="1"/>
      </iconSet>
    </cfRule>
  </conditionalFormatting>
  <conditionalFormatting sqref="AS29">
    <cfRule type="iconSet" priority="560">
      <iconSet iconSet="3Symbols" showValue="0">
        <cfvo type="percent" val="0"/>
        <cfvo type="num" val="0"/>
        <cfvo type="num" val="1"/>
      </iconSet>
    </cfRule>
  </conditionalFormatting>
  <conditionalFormatting sqref="AV29">
    <cfRule type="iconSet" priority="559">
      <iconSet iconSet="3Symbols" showValue="0">
        <cfvo type="percent" val="0"/>
        <cfvo type="num" val="0"/>
        <cfvo type="num" val="1"/>
      </iconSet>
    </cfRule>
  </conditionalFormatting>
  <conditionalFormatting sqref="AY29">
    <cfRule type="iconSet" priority="558">
      <iconSet iconSet="3Symbols" showValue="0">
        <cfvo type="percent" val="0"/>
        <cfvo type="num" val="0"/>
        <cfvo type="num" val="1"/>
      </iconSet>
    </cfRule>
  </conditionalFormatting>
  <conditionalFormatting sqref="BB29">
    <cfRule type="iconSet" priority="557">
      <iconSet iconSet="3Symbols" showValue="0">
        <cfvo type="percent" val="0"/>
        <cfvo type="num" val="0"/>
        <cfvo type="num" val="1"/>
      </iconSet>
    </cfRule>
  </conditionalFormatting>
  <conditionalFormatting sqref="BE29">
    <cfRule type="iconSet" priority="556">
      <iconSet iconSet="3Symbols" showValue="0">
        <cfvo type="percent" val="0"/>
        <cfvo type="num" val="0"/>
        <cfvo type="num" val="1"/>
      </iconSet>
    </cfRule>
  </conditionalFormatting>
  <conditionalFormatting sqref="BH29">
    <cfRule type="iconSet" priority="555">
      <iconSet iconSet="3Symbols" showValue="0">
        <cfvo type="percent" val="0"/>
        <cfvo type="num" val="0"/>
        <cfvo type="num" val="1"/>
      </iconSet>
    </cfRule>
  </conditionalFormatting>
  <conditionalFormatting sqref="BK29">
    <cfRule type="iconSet" priority="554">
      <iconSet iconSet="3Symbols" showValue="0">
        <cfvo type="percent" val="0"/>
        <cfvo type="num" val="0"/>
        <cfvo type="num" val="1"/>
      </iconSet>
    </cfRule>
  </conditionalFormatting>
  <conditionalFormatting sqref="BN29">
    <cfRule type="iconSet" priority="553">
      <iconSet iconSet="3Symbols" showValue="0">
        <cfvo type="percent" val="0"/>
        <cfvo type="num" val="0"/>
        <cfvo type="num" val="1"/>
      </iconSet>
    </cfRule>
  </conditionalFormatting>
  <conditionalFormatting sqref="BQ29">
    <cfRule type="iconSet" priority="552">
      <iconSet iconSet="3Symbols" showValue="0">
        <cfvo type="percent" val="0"/>
        <cfvo type="num" val="0"/>
        <cfvo type="num" val="1"/>
      </iconSet>
    </cfRule>
  </conditionalFormatting>
  <conditionalFormatting sqref="BT29">
    <cfRule type="iconSet" priority="551">
      <iconSet iconSet="3Symbols" showValue="0">
        <cfvo type="percent" val="0"/>
        <cfvo type="num" val="0"/>
        <cfvo type="num" val="1"/>
      </iconSet>
    </cfRule>
  </conditionalFormatting>
  <conditionalFormatting sqref="BW29">
    <cfRule type="iconSet" priority="550">
      <iconSet iconSet="3Symbols" showValue="0">
        <cfvo type="percent" val="0"/>
        <cfvo type="num" val="0"/>
        <cfvo type="num" val="1"/>
      </iconSet>
    </cfRule>
  </conditionalFormatting>
  <conditionalFormatting sqref="BZ29">
    <cfRule type="iconSet" priority="549">
      <iconSet iconSet="3Symbols" showValue="0">
        <cfvo type="percent" val="0"/>
        <cfvo type="num" val="0"/>
        <cfvo type="num" val="1"/>
      </iconSet>
    </cfRule>
  </conditionalFormatting>
  <conditionalFormatting sqref="CC29">
    <cfRule type="iconSet" priority="548">
      <iconSet iconSet="3Symbols" showValue="0">
        <cfvo type="percent" val="0"/>
        <cfvo type="num" val="0"/>
        <cfvo type="num" val="1"/>
      </iconSet>
    </cfRule>
  </conditionalFormatting>
  <conditionalFormatting sqref="CF29">
    <cfRule type="iconSet" priority="547">
      <iconSet iconSet="3Symbols" showValue="0">
        <cfvo type="percent" val="0"/>
        <cfvo type="num" val="0"/>
        <cfvo type="num" val="1"/>
      </iconSet>
    </cfRule>
  </conditionalFormatting>
  <conditionalFormatting sqref="CI29">
    <cfRule type="iconSet" priority="546">
      <iconSet iconSet="3Symbols" showValue="0">
        <cfvo type="percent" val="0"/>
        <cfvo type="num" val="0"/>
        <cfvo type="num" val="1"/>
      </iconSet>
    </cfRule>
  </conditionalFormatting>
  <conditionalFormatting sqref="CL29">
    <cfRule type="iconSet" priority="545">
      <iconSet iconSet="3Symbols" showValue="0">
        <cfvo type="percent" val="0"/>
        <cfvo type="num" val="0"/>
        <cfvo type="num" val="1"/>
      </iconSet>
    </cfRule>
  </conditionalFormatting>
  <conditionalFormatting sqref="CO29">
    <cfRule type="iconSet" priority="544">
      <iconSet iconSet="3Symbols" showValue="0">
        <cfvo type="percent" val="0"/>
        <cfvo type="num" val="0"/>
        <cfvo type="num" val="1"/>
      </iconSet>
    </cfRule>
  </conditionalFormatting>
  <conditionalFormatting sqref="F38:CQ38">
    <cfRule type="expression" dxfId="840" priority="1601">
      <formula>F38=0</formula>
    </cfRule>
  </conditionalFormatting>
  <conditionalFormatting sqref="F45:CQ46">
    <cfRule type="expression" dxfId="839" priority="1600">
      <formula>F45=0</formula>
    </cfRule>
  </conditionalFormatting>
  <conditionalFormatting sqref="F24:CQ24">
    <cfRule type="expression" dxfId="838" priority="809">
      <formula>$E$24&lt;&gt;""</formula>
    </cfRule>
  </conditionalFormatting>
  <conditionalFormatting sqref="F25:CQ25">
    <cfRule type="expression" dxfId="837" priority="784">
      <formula>$E$25&lt;&gt;""</formula>
    </cfRule>
  </conditionalFormatting>
  <conditionalFormatting sqref="F26:CQ26">
    <cfRule type="expression" dxfId="836" priority="779">
      <formula>$E$26&lt;&gt;""</formula>
    </cfRule>
  </conditionalFormatting>
  <conditionalFormatting sqref="F27:CQ27">
    <cfRule type="expression" dxfId="835" priority="774">
      <formula>$E$27&lt;&gt;""</formula>
    </cfRule>
  </conditionalFormatting>
  <conditionalFormatting sqref="F28:CQ28">
    <cfRule type="expression" dxfId="834" priority="769">
      <formula>$E$28&lt;&gt;""</formula>
    </cfRule>
  </conditionalFormatting>
  <conditionalFormatting sqref="F24:CQ28">
    <cfRule type="expression" dxfId="833" priority="534">
      <formula>F24&lt;&gt;""</formula>
    </cfRule>
  </conditionalFormatting>
  <conditionalFormatting sqref="K60">
    <cfRule type="expression" dxfId="832" priority="532">
      <formula>AND(I60="Yes",K60&lt;&gt;"")</formula>
    </cfRule>
    <cfRule type="expression" dxfId="831" priority="533">
      <formula>I60="Yes"</formula>
    </cfRule>
  </conditionalFormatting>
  <conditionalFormatting sqref="K61">
    <cfRule type="expression" dxfId="830" priority="530">
      <formula>AND(I61="Yes",K61&lt;&gt;"")</formula>
    </cfRule>
    <cfRule type="expression" dxfId="829" priority="531">
      <formula>I61="Yes"</formula>
    </cfRule>
  </conditionalFormatting>
  <conditionalFormatting sqref="N60">
    <cfRule type="expression" dxfId="828" priority="527">
      <formula>AND(L60="Yes",N60&lt;&gt;"")</formula>
    </cfRule>
    <cfRule type="expression" dxfId="827" priority="528">
      <formula>L60="Yes"</formula>
    </cfRule>
  </conditionalFormatting>
  <conditionalFormatting sqref="N61">
    <cfRule type="expression" dxfId="826" priority="525">
      <formula>AND(L61="Yes",N61&lt;&gt;"")</formula>
    </cfRule>
    <cfRule type="expression" dxfId="825" priority="526">
      <formula>L61="Yes"</formula>
    </cfRule>
  </conditionalFormatting>
  <conditionalFormatting sqref="Q60">
    <cfRule type="expression" dxfId="824" priority="522">
      <formula>AND(O60="Yes",Q60&lt;&gt;"")</formula>
    </cfRule>
    <cfRule type="expression" dxfId="823" priority="523">
      <formula>O60="Yes"</formula>
    </cfRule>
  </conditionalFormatting>
  <conditionalFormatting sqref="Q61">
    <cfRule type="expression" dxfId="822" priority="520">
      <formula>AND(O61="Yes",Q61&lt;&gt;"")</formula>
    </cfRule>
    <cfRule type="expression" dxfId="821" priority="521">
      <formula>O61="Yes"</formula>
    </cfRule>
  </conditionalFormatting>
  <conditionalFormatting sqref="T60">
    <cfRule type="expression" dxfId="820" priority="517">
      <formula>AND(R60="Yes",T60&lt;&gt;"")</formula>
    </cfRule>
    <cfRule type="expression" dxfId="819" priority="518">
      <formula>R60="Yes"</formula>
    </cfRule>
  </conditionalFormatting>
  <conditionalFormatting sqref="T61">
    <cfRule type="expression" dxfId="818" priority="515">
      <formula>AND(R61="Yes",T61&lt;&gt;"")</formula>
    </cfRule>
    <cfRule type="expression" dxfId="817" priority="516">
      <formula>R61="Yes"</formula>
    </cfRule>
  </conditionalFormatting>
  <conditionalFormatting sqref="W60">
    <cfRule type="expression" dxfId="816" priority="512">
      <formula>AND(U60="Yes",W60&lt;&gt;"")</formula>
    </cfRule>
    <cfRule type="expression" dxfId="815" priority="513">
      <formula>U60="Yes"</formula>
    </cfRule>
  </conditionalFormatting>
  <conditionalFormatting sqref="W61">
    <cfRule type="expression" dxfId="814" priority="510">
      <formula>AND(U61="Yes",W61&lt;&gt;"")</formula>
    </cfRule>
    <cfRule type="expression" dxfId="813" priority="511">
      <formula>U61="Yes"</formula>
    </cfRule>
  </conditionalFormatting>
  <conditionalFormatting sqref="Z60">
    <cfRule type="expression" dxfId="812" priority="507">
      <formula>AND(X60="Yes",Z60&lt;&gt;"")</formula>
    </cfRule>
    <cfRule type="expression" dxfId="811" priority="508">
      <formula>X60="Yes"</formula>
    </cfRule>
  </conditionalFormatting>
  <conditionalFormatting sqref="Z61">
    <cfRule type="expression" dxfId="810" priority="505">
      <formula>AND(X61="Yes",Z61&lt;&gt;"")</formula>
    </cfRule>
    <cfRule type="expression" dxfId="809" priority="506">
      <formula>X61="Yes"</formula>
    </cfRule>
  </conditionalFormatting>
  <conditionalFormatting sqref="AC60">
    <cfRule type="expression" dxfId="808" priority="502">
      <formula>AND(AA60="Yes",AC60&lt;&gt;"")</formula>
    </cfRule>
    <cfRule type="expression" dxfId="807" priority="503">
      <formula>AA60="Yes"</formula>
    </cfRule>
  </conditionalFormatting>
  <conditionalFormatting sqref="AC61">
    <cfRule type="expression" dxfId="806" priority="500">
      <formula>AND(AA61="Yes",AC61&lt;&gt;"")</formula>
    </cfRule>
    <cfRule type="expression" dxfId="805" priority="501">
      <formula>AA61="Yes"</formula>
    </cfRule>
  </conditionalFormatting>
  <conditionalFormatting sqref="AF60">
    <cfRule type="expression" dxfId="804" priority="497">
      <formula>AND(AD60="Yes",AF60&lt;&gt;"")</formula>
    </cfRule>
    <cfRule type="expression" dxfId="803" priority="498">
      <formula>AD60="Yes"</formula>
    </cfRule>
  </conditionalFormatting>
  <conditionalFormatting sqref="AF61">
    <cfRule type="expression" dxfId="802" priority="495">
      <formula>AND(AD61="Yes",AF61&lt;&gt;"")</formula>
    </cfRule>
    <cfRule type="expression" dxfId="801" priority="496">
      <formula>AD61="Yes"</formula>
    </cfRule>
  </conditionalFormatting>
  <conditionalFormatting sqref="AI60">
    <cfRule type="expression" dxfId="800" priority="492">
      <formula>AND(AG60="Yes",AI60&lt;&gt;"")</formula>
    </cfRule>
    <cfRule type="expression" dxfId="799" priority="493">
      <formula>AG60="Yes"</formula>
    </cfRule>
  </conditionalFormatting>
  <conditionalFormatting sqref="AI61">
    <cfRule type="expression" dxfId="798" priority="490">
      <formula>AND(AG61="Yes",AI61&lt;&gt;"")</formula>
    </cfRule>
    <cfRule type="expression" dxfId="797" priority="491">
      <formula>AG61="Yes"</formula>
    </cfRule>
  </conditionalFormatting>
  <conditionalFormatting sqref="AL60">
    <cfRule type="expression" dxfId="796" priority="482">
      <formula>AND(AJ60="Yes",AL60&lt;&gt;"")</formula>
    </cfRule>
    <cfRule type="expression" dxfId="795" priority="483">
      <formula>AJ60="Yes"</formula>
    </cfRule>
  </conditionalFormatting>
  <conditionalFormatting sqref="AL61">
    <cfRule type="expression" dxfId="794" priority="480">
      <formula>AND(AJ61="Yes",AL61&lt;&gt;"")</formula>
    </cfRule>
    <cfRule type="expression" dxfId="793" priority="481">
      <formula>AJ61="Yes"</formula>
    </cfRule>
  </conditionalFormatting>
  <conditionalFormatting sqref="AO60">
    <cfRule type="expression" dxfId="792" priority="477">
      <formula>AND(AM60="Yes",AO60&lt;&gt;"")</formula>
    </cfRule>
    <cfRule type="expression" dxfId="791" priority="478">
      <formula>AM60="Yes"</formula>
    </cfRule>
  </conditionalFormatting>
  <conditionalFormatting sqref="AO61">
    <cfRule type="expression" dxfId="790" priority="475">
      <formula>AND(AM61="Yes",AO61&lt;&gt;"")</formula>
    </cfRule>
    <cfRule type="expression" dxfId="789" priority="476">
      <formula>AM61="Yes"</formula>
    </cfRule>
  </conditionalFormatting>
  <conditionalFormatting sqref="AR60">
    <cfRule type="expression" dxfId="788" priority="472">
      <formula>AND(AP60="Yes",AR60&lt;&gt;"")</formula>
    </cfRule>
    <cfRule type="expression" dxfId="787" priority="473">
      <formula>AP60="Yes"</formula>
    </cfRule>
  </conditionalFormatting>
  <conditionalFormatting sqref="AR61">
    <cfRule type="expression" dxfId="786" priority="470">
      <formula>AND(AP61="Yes",AR61&lt;&gt;"")</formula>
    </cfRule>
    <cfRule type="expression" dxfId="785" priority="471">
      <formula>AP61="Yes"</formula>
    </cfRule>
  </conditionalFormatting>
  <conditionalFormatting sqref="AU60">
    <cfRule type="expression" dxfId="784" priority="467">
      <formula>AND(AS60="Yes",AU60&lt;&gt;"")</formula>
    </cfRule>
    <cfRule type="expression" dxfId="783" priority="468">
      <formula>AS60="Yes"</formula>
    </cfRule>
  </conditionalFormatting>
  <conditionalFormatting sqref="AU61">
    <cfRule type="expression" dxfId="782" priority="465">
      <formula>AND(AS61="Yes",AU61&lt;&gt;"")</formula>
    </cfRule>
    <cfRule type="expression" dxfId="781" priority="466">
      <formula>AS61="Yes"</formula>
    </cfRule>
  </conditionalFormatting>
  <conditionalFormatting sqref="AX60">
    <cfRule type="expression" dxfId="780" priority="462">
      <formula>AND(AV60="Yes",AX60&lt;&gt;"")</formula>
    </cfRule>
    <cfRule type="expression" dxfId="779" priority="463">
      <formula>AV60="Yes"</formula>
    </cfRule>
  </conditionalFormatting>
  <conditionalFormatting sqref="AX61">
    <cfRule type="expression" dxfId="778" priority="460">
      <formula>AND(AV61="Yes",AX61&lt;&gt;"")</formula>
    </cfRule>
    <cfRule type="expression" dxfId="777" priority="461">
      <formula>AV61="Yes"</formula>
    </cfRule>
  </conditionalFormatting>
  <conditionalFormatting sqref="BA60">
    <cfRule type="expression" dxfId="776" priority="457">
      <formula>AND(AY60="Yes",BA60&lt;&gt;"")</formula>
    </cfRule>
    <cfRule type="expression" dxfId="775" priority="458">
      <formula>AY60="Yes"</formula>
    </cfRule>
  </conditionalFormatting>
  <conditionalFormatting sqref="BA61">
    <cfRule type="expression" dxfId="774" priority="455">
      <formula>AND(AY61="Yes",BA61&lt;&gt;"")</formula>
    </cfRule>
    <cfRule type="expression" dxfId="773" priority="456">
      <formula>AY61="Yes"</formula>
    </cfRule>
  </conditionalFormatting>
  <conditionalFormatting sqref="BD60">
    <cfRule type="expression" dxfId="772" priority="452">
      <formula>AND(BB60="Yes",BD60&lt;&gt;"")</formula>
    </cfRule>
    <cfRule type="expression" dxfId="771" priority="453">
      <formula>BB60="Yes"</formula>
    </cfRule>
  </conditionalFormatting>
  <conditionalFormatting sqref="BD61">
    <cfRule type="expression" dxfId="770" priority="450">
      <formula>AND(BB61="Yes",BD61&lt;&gt;"")</formula>
    </cfRule>
    <cfRule type="expression" dxfId="769" priority="451">
      <formula>BB61="Yes"</formula>
    </cfRule>
  </conditionalFormatting>
  <conditionalFormatting sqref="BG60">
    <cfRule type="expression" dxfId="768" priority="447">
      <formula>AND(BE60="Yes",BG60&lt;&gt;"")</formula>
    </cfRule>
    <cfRule type="expression" dxfId="767" priority="448">
      <formula>BE60="Yes"</formula>
    </cfRule>
  </conditionalFormatting>
  <conditionalFormatting sqref="BG61">
    <cfRule type="expression" dxfId="766" priority="445">
      <formula>AND(BE61="Yes",BG61&lt;&gt;"")</formula>
    </cfRule>
    <cfRule type="expression" dxfId="765" priority="446">
      <formula>BE61="Yes"</formula>
    </cfRule>
  </conditionalFormatting>
  <conditionalFormatting sqref="BJ60">
    <cfRule type="expression" dxfId="764" priority="442">
      <formula>AND(BH60="Yes",BJ60&lt;&gt;"")</formula>
    </cfRule>
    <cfRule type="expression" dxfId="763" priority="443">
      <formula>BH60="Yes"</formula>
    </cfRule>
  </conditionalFormatting>
  <conditionalFormatting sqref="BJ61">
    <cfRule type="expression" dxfId="762" priority="440">
      <formula>AND(BH61="Yes",BJ61&lt;&gt;"")</formula>
    </cfRule>
    <cfRule type="expression" dxfId="761" priority="441">
      <formula>BH61="Yes"</formula>
    </cfRule>
  </conditionalFormatting>
  <conditionalFormatting sqref="BM60">
    <cfRule type="expression" dxfId="760" priority="437">
      <formula>AND(BK60="Yes",BM60&lt;&gt;"")</formula>
    </cfRule>
    <cfRule type="expression" dxfId="759" priority="438">
      <formula>BK60="Yes"</formula>
    </cfRule>
  </conditionalFormatting>
  <conditionalFormatting sqref="BM61">
    <cfRule type="expression" dxfId="758" priority="435">
      <formula>AND(BK61="Yes",BM61&lt;&gt;"")</formula>
    </cfRule>
    <cfRule type="expression" dxfId="757" priority="436">
      <formula>BK61="Yes"</formula>
    </cfRule>
  </conditionalFormatting>
  <conditionalFormatting sqref="BP60">
    <cfRule type="expression" dxfId="756" priority="432">
      <formula>AND(BN60="Yes",BP60&lt;&gt;"")</formula>
    </cfRule>
    <cfRule type="expression" dxfId="755" priority="433">
      <formula>BN60="Yes"</formula>
    </cfRule>
  </conditionalFormatting>
  <conditionalFormatting sqref="BP61">
    <cfRule type="expression" dxfId="754" priority="430">
      <formula>AND(BN61="Yes",BP61&lt;&gt;"")</formula>
    </cfRule>
    <cfRule type="expression" dxfId="753" priority="431">
      <formula>BN61="Yes"</formula>
    </cfRule>
  </conditionalFormatting>
  <conditionalFormatting sqref="BS60">
    <cfRule type="expression" dxfId="752" priority="427">
      <formula>AND(BQ60="Yes",BS60&lt;&gt;"")</formula>
    </cfRule>
    <cfRule type="expression" dxfId="751" priority="428">
      <formula>BQ60="Yes"</formula>
    </cfRule>
  </conditionalFormatting>
  <conditionalFormatting sqref="BS61">
    <cfRule type="expression" dxfId="750" priority="425">
      <formula>AND(BQ61="Yes",BS61&lt;&gt;"")</formula>
    </cfRule>
    <cfRule type="expression" dxfId="749" priority="426">
      <formula>BQ61="Yes"</formula>
    </cfRule>
  </conditionalFormatting>
  <conditionalFormatting sqref="BV60">
    <cfRule type="expression" dxfId="748" priority="422">
      <formula>AND(BT60="Yes",BV60&lt;&gt;"")</formula>
    </cfRule>
    <cfRule type="expression" dxfId="747" priority="423">
      <formula>BT60="Yes"</formula>
    </cfRule>
  </conditionalFormatting>
  <conditionalFormatting sqref="BV61">
    <cfRule type="expression" dxfId="746" priority="420">
      <formula>AND(BT61="Yes",BV61&lt;&gt;"")</formula>
    </cfRule>
    <cfRule type="expression" dxfId="745" priority="421">
      <formula>BT61="Yes"</formula>
    </cfRule>
  </conditionalFormatting>
  <conditionalFormatting sqref="BY60">
    <cfRule type="expression" dxfId="744" priority="417">
      <formula>AND(BW60="Yes",BY60&lt;&gt;"")</formula>
    </cfRule>
    <cfRule type="expression" dxfId="743" priority="418">
      <formula>BW60="Yes"</formula>
    </cfRule>
  </conditionalFormatting>
  <conditionalFormatting sqref="BY61">
    <cfRule type="expression" dxfId="742" priority="415">
      <formula>AND(BW61="Yes",BY61&lt;&gt;"")</formula>
    </cfRule>
    <cfRule type="expression" dxfId="741" priority="416">
      <formula>BW61="Yes"</formula>
    </cfRule>
  </conditionalFormatting>
  <conditionalFormatting sqref="CB60">
    <cfRule type="expression" dxfId="740" priority="412">
      <formula>AND(BZ60="Yes",CB60&lt;&gt;"")</formula>
    </cfRule>
    <cfRule type="expression" dxfId="739" priority="413">
      <formula>BZ60="Yes"</formula>
    </cfRule>
  </conditionalFormatting>
  <conditionalFormatting sqref="CB61">
    <cfRule type="expression" dxfId="738" priority="410">
      <formula>AND(BZ61="Yes",CB61&lt;&gt;"")</formula>
    </cfRule>
    <cfRule type="expression" dxfId="737" priority="411">
      <formula>BZ61="Yes"</formula>
    </cfRule>
  </conditionalFormatting>
  <conditionalFormatting sqref="CE60">
    <cfRule type="expression" dxfId="736" priority="407">
      <formula>AND(CC60="Yes",CE60&lt;&gt;"")</formula>
    </cfRule>
    <cfRule type="expression" dxfId="735" priority="408">
      <formula>CC60="Yes"</formula>
    </cfRule>
  </conditionalFormatting>
  <conditionalFormatting sqref="CE61">
    <cfRule type="expression" dxfId="734" priority="405">
      <formula>AND(CC61="Yes",CE61&lt;&gt;"")</formula>
    </cfRule>
    <cfRule type="expression" dxfId="733" priority="406">
      <formula>CC61="Yes"</formula>
    </cfRule>
  </conditionalFormatting>
  <conditionalFormatting sqref="CH60">
    <cfRule type="expression" dxfId="732" priority="402">
      <formula>AND(CF60="Yes",CH60&lt;&gt;"")</formula>
    </cfRule>
    <cfRule type="expression" dxfId="731" priority="403">
      <formula>CF60="Yes"</formula>
    </cfRule>
  </conditionalFormatting>
  <conditionalFormatting sqref="CH61">
    <cfRule type="expression" dxfId="730" priority="400">
      <formula>AND(CF61="Yes",CH61&lt;&gt;"")</formula>
    </cfRule>
    <cfRule type="expression" dxfId="729" priority="401">
      <formula>CF61="Yes"</formula>
    </cfRule>
  </conditionalFormatting>
  <conditionalFormatting sqref="CK60">
    <cfRule type="expression" dxfId="728" priority="397">
      <formula>AND(CI60="Yes",CK60&lt;&gt;"")</formula>
    </cfRule>
    <cfRule type="expression" dxfId="727" priority="398">
      <formula>CI60="Yes"</formula>
    </cfRule>
  </conditionalFormatting>
  <conditionalFormatting sqref="CK61">
    <cfRule type="expression" dxfId="726" priority="395">
      <formula>AND(CI61="Yes",CK61&lt;&gt;"")</formula>
    </cfRule>
    <cfRule type="expression" dxfId="725" priority="396">
      <formula>CI61="Yes"</formula>
    </cfRule>
  </conditionalFormatting>
  <conditionalFormatting sqref="CN60">
    <cfRule type="expression" dxfId="724" priority="392">
      <formula>AND(CL60="Yes",CN60&lt;&gt;"")</formula>
    </cfRule>
    <cfRule type="expression" dxfId="723" priority="393">
      <formula>CL60="Yes"</formula>
    </cfRule>
  </conditionalFormatting>
  <conditionalFormatting sqref="CN61">
    <cfRule type="expression" dxfId="722" priority="390">
      <formula>AND(CL61="Yes",CN61&lt;&gt;"")</formula>
    </cfRule>
    <cfRule type="expression" dxfId="721" priority="391">
      <formula>CL61="Yes"</formula>
    </cfRule>
  </conditionalFormatting>
  <conditionalFormatting sqref="CQ60">
    <cfRule type="expression" dxfId="720" priority="387">
      <formula>AND(CO60="Yes",CQ60&lt;&gt;"")</formula>
    </cfRule>
    <cfRule type="expression" dxfId="719" priority="388">
      <formula>CO60="Yes"</formula>
    </cfRule>
  </conditionalFormatting>
  <conditionalFormatting sqref="CQ61">
    <cfRule type="expression" dxfId="718" priority="385">
      <formula>AND(CO61="Yes",CQ61&lt;&gt;"")</formula>
    </cfRule>
    <cfRule type="expression" dxfId="717" priority="386">
      <formula>CO61="Yes"</formula>
    </cfRule>
  </conditionalFormatting>
  <conditionalFormatting sqref="K63">
    <cfRule type="expression" dxfId="716" priority="382">
      <formula>AND(I63="Yes",K63&lt;&gt;"")</formula>
    </cfRule>
    <cfRule type="expression" dxfId="715" priority="383">
      <formula>I63="Yes"</formula>
    </cfRule>
  </conditionalFormatting>
  <conditionalFormatting sqref="N63">
    <cfRule type="expression" dxfId="714" priority="379">
      <formula>AND(L63="Yes",N63&lt;&gt;"")</formula>
    </cfRule>
    <cfRule type="expression" dxfId="713" priority="380">
      <formula>L63="Yes"</formula>
    </cfRule>
  </conditionalFormatting>
  <conditionalFormatting sqref="Q63">
    <cfRule type="expression" dxfId="712" priority="376">
      <formula>AND(O63="Yes",Q63&lt;&gt;"")</formula>
    </cfRule>
    <cfRule type="expression" dxfId="711" priority="377">
      <formula>O63="Yes"</formula>
    </cfRule>
  </conditionalFormatting>
  <conditionalFormatting sqref="T63">
    <cfRule type="expression" dxfId="710" priority="373">
      <formula>AND(R63="Yes",T63&lt;&gt;"")</formula>
    </cfRule>
    <cfRule type="expression" dxfId="709" priority="374">
      <formula>R63="Yes"</formula>
    </cfRule>
  </conditionalFormatting>
  <conditionalFormatting sqref="W63">
    <cfRule type="expression" dxfId="708" priority="370">
      <formula>AND(U63="Yes",W63&lt;&gt;"")</formula>
    </cfRule>
    <cfRule type="expression" dxfId="707" priority="371">
      <formula>U63="Yes"</formula>
    </cfRule>
  </conditionalFormatting>
  <conditionalFormatting sqref="Z63">
    <cfRule type="expression" dxfId="706" priority="367">
      <formula>AND(X63="Yes",Z63&lt;&gt;"")</formula>
    </cfRule>
    <cfRule type="expression" dxfId="705" priority="368">
      <formula>X63="Yes"</formula>
    </cfRule>
  </conditionalFormatting>
  <conditionalFormatting sqref="AC63">
    <cfRule type="expression" dxfId="704" priority="364">
      <formula>AND(AA63="Yes",AC63&lt;&gt;"")</formula>
    </cfRule>
    <cfRule type="expression" dxfId="703" priority="365">
      <formula>AA63="Yes"</formula>
    </cfRule>
  </conditionalFormatting>
  <conditionalFormatting sqref="AF63">
    <cfRule type="expression" dxfId="702" priority="361">
      <formula>AND(AD63="Yes",AF63&lt;&gt;"")</formula>
    </cfRule>
    <cfRule type="expression" dxfId="701" priority="362">
      <formula>AD63="Yes"</formula>
    </cfRule>
  </conditionalFormatting>
  <conditionalFormatting sqref="AI63">
    <cfRule type="expression" dxfId="700" priority="358">
      <formula>AND(AG63="Yes",AI63&lt;&gt;"")</formula>
    </cfRule>
    <cfRule type="expression" dxfId="699" priority="359">
      <formula>AG63="Yes"</formula>
    </cfRule>
  </conditionalFormatting>
  <conditionalFormatting sqref="AL63">
    <cfRule type="expression" dxfId="698" priority="355">
      <formula>AND(AJ63="Yes",AL63&lt;&gt;"")</formula>
    </cfRule>
    <cfRule type="expression" dxfId="697" priority="356">
      <formula>AJ63="Yes"</formula>
    </cfRule>
  </conditionalFormatting>
  <conditionalFormatting sqref="AO63">
    <cfRule type="expression" dxfId="696" priority="352">
      <formula>AND(AM63="Yes",AO63&lt;&gt;"")</formula>
    </cfRule>
    <cfRule type="expression" dxfId="695" priority="353">
      <formula>AM63="Yes"</formula>
    </cfRule>
  </conditionalFormatting>
  <conditionalFormatting sqref="AR63">
    <cfRule type="expression" dxfId="694" priority="349">
      <formula>AND(AP63="Yes",AR63&lt;&gt;"")</formula>
    </cfRule>
    <cfRule type="expression" dxfId="693" priority="350">
      <formula>AP63="Yes"</formula>
    </cfRule>
  </conditionalFormatting>
  <conditionalFormatting sqref="AU63">
    <cfRule type="expression" dxfId="692" priority="346">
      <formula>AND(AS63="Yes",AU63&lt;&gt;"")</formula>
    </cfRule>
    <cfRule type="expression" dxfId="691" priority="347">
      <formula>AS63="Yes"</formula>
    </cfRule>
  </conditionalFormatting>
  <conditionalFormatting sqref="AX63">
    <cfRule type="expression" dxfId="690" priority="343">
      <formula>AND(AV63="Yes",AX63&lt;&gt;"")</formula>
    </cfRule>
    <cfRule type="expression" dxfId="689" priority="344">
      <formula>AV63="Yes"</formula>
    </cfRule>
  </conditionalFormatting>
  <conditionalFormatting sqref="BA63">
    <cfRule type="expression" dxfId="688" priority="340">
      <formula>AND(AY63="Yes",BA63&lt;&gt;"")</formula>
    </cfRule>
    <cfRule type="expression" dxfId="687" priority="341">
      <formula>AY63="Yes"</formula>
    </cfRule>
  </conditionalFormatting>
  <conditionalFormatting sqref="BD63">
    <cfRule type="expression" dxfId="686" priority="337">
      <formula>AND(BB63="Yes",BD63&lt;&gt;"")</formula>
    </cfRule>
    <cfRule type="expression" dxfId="685" priority="338">
      <formula>BB63="Yes"</formula>
    </cfRule>
  </conditionalFormatting>
  <conditionalFormatting sqref="BG63">
    <cfRule type="expression" dxfId="684" priority="334">
      <formula>AND(BE63="Yes",BG63&lt;&gt;"")</formula>
    </cfRule>
    <cfRule type="expression" dxfId="683" priority="335">
      <formula>BE63="Yes"</formula>
    </cfRule>
  </conditionalFormatting>
  <conditionalFormatting sqref="BJ63">
    <cfRule type="expression" dxfId="682" priority="331">
      <formula>AND(BH63="Yes",BJ63&lt;&gt;"")</formula>
    </cfRule>
    <cfRule type="expression" dxfId="681" priority="332">
      <formula>BH63="Yes"</formula>
    </cfRule>
  </conditionalFormatting>
  <conditionalFormatting sqref="BM63">
    <cfRule type="expression" dxfId="680" priority="328">
      <formula>AND(BK63="Yes",BM63&lt;&gt;"")</formula>
    </cfRule>
    <cfRule type="expression" dxfId="679" priority="329">
      <formula>BK63="Yes"</formula>
    </cfRule>
  </conditionalFormatting>
  <conditionalFormatting sqref="BP63">
    <cfRule type="expression" dxfId="678" priority="325">
      <formula>AND(BN63="Yes",BP63&lt;&gt;"")</formula>
    </cfRule>
    <cfRule type="expression" dxfId="677" priority="326">
      <formula>BN63="Yes"</formula>
    </cfRule>
  </conditionalFormatting>
  <conditionalFormatting sqref="BS63">
    <cfRule type="expression" dxfId="676" priority="322">
      <formula>AND(BQ63="Yes",BS63&lt;&gt;"")</formula>
    </cfRule>
    <cfRule type="expression" dxfId="675" priority="323">
      <formula>BQ63="Yes"</formula>
    </cfRule>
  </conditionalFormatting>
  <conditionalFormatting sqref="BV63">
    <cfRule type="expression" dxfId="674" priority="319">
      <formula>AND(BT63="Yes",BV63&lt;&gt;"")</formula>
    </cfRule>
    <cfRule type="expression" dxfId="673" priority="320">
      <formula>BT63="Yes"</formula>
    </cfRule>
  </conditionalFormatting>
  <conditionalFormatting sqref="BY63">
    <cfRule type="expression" dxfId="672" priority="316">
      <formula>AND(BW63="Yes",BY63&lt;&gt;"")</formula>
    </cfRule>
    <cfRule type="expression" dxfId="671" priority="317">
      <formula>BW63="Yes"</formula>
    </cfRule>
  </conditionalFormatting>
  <conditionalFormatting sqref="CB63">
    <cfRule type="expression" dxfId="670" priority="313">
      <formula>AND(BZ63="Yes",CB63&lt;&gt;"")</formula>
    </cfRule>
    <cfRule type="expression" dxfId="669" priority="314">
      <formula>BZ63="Yes"</formula>
    </cfRule>
  </conditionalFormatting>
  <conditionalFormatting sqref="CE63">
    <cfRule type="expression" dxfId="668" priority="310">
      <formula>AND(CC63="Yes",CE63&lt;&gt;"")</formula>
    </cfRule>
    <cfRule type="expression" dxfId="667" priority="311">
      <formula>CC63="Yes"</formula>
    </cfRule>
  </conditionalFormatting>
  <conditionalFormatting sqref="CH63">
    <cfRule type="expression" dxfId="666" priority="307">
      <formula>AND(CF63="Yes",CH63&lt;&gt;"")</formula>
    </cfRule>
    <cfRule type="expression" dxfId="665" priority="308">
      <formula>CF63="Yes"</formula>
    </cfRule>
  </conditionalFormatting>
  <conditionalFormatting sqref="CK63">
    <cfRule type="expression" dxfId="664" priority="304">
      <formula>AND(CI63="Yes",CK63&lt;&gt;"")</formula>
    </cfRule>
    <cfRule type="expression" dxfId="663" priority="305">
      <formula>CI63="Yes"</formula>
    </cfRule>
  </conditionalFormatting>
  <conditionalFormatting sqref="CN63">
    <cfRule type="expression" dxfId="662" priority="301">
      <formula>AND(CL63="Yes",CN63&lt;&gt;"")</formula>
    </cfRule>
    <cfRule type="expression" dxfId="661" priority="302">
      <formula>CL63="Yes"</formula>
    </cfRule>
  </conditionalFormatting>
  <conditionalFormatting sqref="CQ63">
    <cfRule type="expression" dxfId="660" priority="298">
      <formula>AND(CO63="Yes",CQ63&lt;&gt;"")</formula>
    </cfRule>
    <cfRule type="expression" dxfId="659" priority="299">
      <formula>CO63="Yes"</formula>
    </cfRule>
  </conditionalFormatting>
  <conditionalFormatting sqref="K65:K66">
    <cfRule type="expression" dxfId="658" priority="295">
      <formula>AND(I65="Yes",K65&lt;&gt;"")</formula>
    </cfRule>
    <cfRule type="expression" dxfId="657" priority="296">
      <formula>I65="Yes"</formula>
    </cfRule>
  </conditionalFormatting>
  <conditionalFormatting sqref="N65:N66">
    <cfRule type="expression" dxfId="656" priority="292">
      <formula>AND(L65="Yes",N65&lt;&gt;"")</formula>
    </cfRule>
    <cfRule type="expression" dxfId="655" priority="293">
      <formula>L65="Yes"</formula>
    </cfRule>
  </conditionalFormatting>
  <conditionalFormatting sqref="Q65:Q66">
    <cfRule type="expression" dxfId="654" priority="289">
      <formula>AND(O65="Yes",Q65&lt;&gt;"")</formula>
    </cfRule>
    <cfRule type="expression" dxfId="653" priority="290">
      <formula>O65="Yes"</formula>
    </cfRule>
  </conditionalFormatting>
  <conditionalFormatting sqref="T65:T66">
    <cfRule type="expression" dxfId="652" priority="286">
      <formula>AND(R65="Yes",T65&lt;&gt;"")</formula>
    </cfRule>
    <cfRule type="expression" dxfId="651" priority="287">
      <formula>R65="Yes"</formula>
    </cfRule>
  </conditionalFormatting>
  <conditionalFormatting sqref="W65:W66">
    <cfRule type="expression" dxfId="650" priority="283">
      <formula>AND(U65="Yes",W65&lt;&gt;"")</formula>
    </cfRule>
    <cfRule type="expression" dxfId="649" priority="284">
      <formula>U65="Yes"</formula>
    </cfRule>
  </conditionalFormatting>
  <conditionalFormatting sqref="Z65:Z66">
    <cfRule type="expression" dxfId="648" priority="280">
      <formula>AND(X65="Yes",Z65&lt;&gt;"")</formula>
    </cfRule>
    <cfRule type="expression" dxfId="647" priority="281">
      <formula>X65="Yes"</formula>
    </cfRule>
  </conditionalFormatting>
  <conditionalFormatting sqref="AC65:AC66">
    <cfRule type="expression" dxfId="646" priority="277">
      <formula>AND(AA65="Yes",AC65&lt;&gt;"")</formula>
    </cfRule>
    <cfRule type="expression" dxfId="645" priority="278">
      <formula>AA65="Yes"</formula>
    </cfRule>
  </conditionalFormatting>
  <conditionalFormatting sqref="AF65:AF66">
    <cfRule type="expression" dxfId="644" priority="274">
      <formula>AND(AD65="Yes",AF65&lt;&gt;"")</formula>
    </cfRule>
    <cfRule type="expression" dxfId="643" priority="275">
      <formula>AD65="Yes"</formula>
    </cfRule>
  </conditionalFormatting>
  <conditionalFormatting sqref="AI65:AI66">
    <cfRule type="expression" dxfId="642" priority="271">
      <formula>AND(AG65="Yes",AI65&lt;&gt;"")</formula>
    </cfRule>
    <cfRule type="expression" dxfId="641" priority="272">
      <formula>AG65="Yes"</formula>
    </cfRule>
  </conditionalFormatting>
  <conditionalFormatting sqref="AL65:AL66">
    <cfRule type="expression" dxfId="640" priority="268">
      <formula>AND(AJ65="Yes",AL65&lt;&gt;"")</formula>
    </cfRule>
    <cfRule type="expression" dxfId="639" priority="269">
      <formula>AJ65="Yes"</formula>
    </cfRule>
  </conditionalFormatting>
  <conditionalFormatting sqref="AO65:AO66">
    <cfRule type="expression" dxfId="638" priority="265">
      <formula>AND(AM65="Yes",AO65&lt;&gt;"")</formula>
    </cfRule>
    <cfRule type="expression" dxfId="637" priority="266">
      <formula>AM65="Yes"</formula>
    </cfRule>
  </conditionalFormatting>
  <conditionalFormatting sqref="AR65:AR66">
    <cfRule type="expression" dxfId="636" priority="262">
      <formula>AND(AP65="Yes",AR65&lt;&gt;"")</formula>
    </cfRule>
    <cfRule type="expression" dxfId="635" priority="263">
      <formula>AP65="Yes"</formula>
    </cfRule>
  </conditionalFormatting>
  <conditionalFormatting sqref="AU65:AU66">
    <cfRule type="expression" dxfId="634" priority="259">
      <formula>AND(AS65="Yes",AU65&lt;&gt;"")</formula>
    </cfRule>
    <cfRule type="expression" dxfId="633" priority="260">
      <formula>AS65="Yes"</formula>
    </cfRule>
  </conditionalFormatting>
  <conditionalFormatting sqref="AX65:AX66">
    <cfRule type="expression" dxfId="632" priority="256">
      <formula>AND(AV65="Yes",AX65&lt;&gt;"")</formula>
    </cfRule>
    <cfRule type="expression" dxfId="631" priority="257">
      <formula>AV65="Yes"</formula>
    </cfRule>
  </conditionalFormatting>
  <conditionalFormatting sqref="BA65:BA66">
    <cfRule type="expression" dxfId="630" priority="253">
      <formula>AND(AY65="Yes",BA65&lt;&gt;"")</formula>
    </cfRule>
    <cfRule type="expression" dxfId="629" priority="254">
      <formula>AY65="Yes"</formula>
    </cfRule>
  </conditionalFormatting>
  <conditionalFormatting sqref="BD65:BD66">
    <cfRule type="expression" dxfId="628" priority="250">
      <formula>AND(BB65="Yes",BD65&lt;&gt;"")</formula>
    </cfRule>
    <cfRule type="expression" dxfId="627" priority="251">
      <formula>BB65="Yes"</formula>
    </cfRule>
  </conditionalFormatting>
  <conditionalFormatting sqref="BG65:BG66">
    <cfRule type="expression" dxfId="626" priority="247">
      <formula>AND(BE65="Yes",BG65&lt;&gt;"")</formula>
    </cfRule>
    <cfRule type="expression" dxfId="625" priority="248">
      <formula>BE65="Yes"</formula>
    </cfRule>
  </conditionalFormatting>
  <conditionalFormatting sqref="BJ65:BJ66">
    <cfRule type="expression" dxfId="624" priority="244">
      <formula>AND(BH65="Yes",BJ65&lt;&gt;"")</formula>
    </cfRule>
    <cfRule type="expression" dxfId="623" priority="245">
      <formula>BH65="Yes"</formula>
    </cfRule>
  </conditionalFormatting>
  <conditionalFormatting sqref="BM65:BM66">
    <cfRule type="expression" dxfId="622" priority="241">
      <formula>AND(BK65="Yes",BM65&lt;&gt;"")</formula>
    </cfRule>
    <cfRule type="expression" dxfId="621" priority="242">
      <formula>BK65="Yes"</formula>
    </cfRule>
  </conditionalFormatting>
  <conditionalFormatting sqref="BP65:BP66">
    <cfRule type="expression" dxfId="620" priority="238">
      <formula>AND(BN65="Yes",BP65&lt;&gt;"")</formula>
    </cfRule>
    <cfRule type="expression" dxfId="619" priority="239">
      <formula>BN65="Yes"</formula>
    </cfRule>
  </conditionalFormatting>
  <conditionalFormatting sqref="BS65:BS66">
    <cfRule type="expression" dxfId="618" priority="235">
      <formula>AND(BQ65="Yes",BS65&lt;&gt;"")</formula>
    </cfRule>
    <cfRule type="expression" dxfId="617" priority="236">
      <formula>BQ65="Yes"</formula>
    </cfRule>
  </conditionalFormatting>
  <conditionalFormatting sqref="BV65:BV66">
    <cfRule type="expression" dxfId="616" priority="232">
      <formula>AND(BT65="Yes",BV65&lt;&gt;"")</formula>
    </cfRule>
    <cfRule type="expression" dxfId="615" priority="233">
      <formula>BT65="Yes"</formula>
    </cfRule>
  </conditionalFormatting>
  <conditionalFormatting sqref="BY65:BY66">
    <cfRule type="expression" dxfId="614" priority="229">
      <formula>AND(BW65="Yes",BY65&lt;&gt;"")</formula>
    </cfRule>
    <cfRule type="expression" dxfId="613" priority="230">
      <formula>BW65="Yes"</formula>
    </cfRule>
  </conditionalFormatting>
  <conditionalFormatting sqref="CB65:CB66">
    <cfRule type="expression" dxfId="612" priority="226">
      <formula>AND(BZ65="Yes",CB65&lt;&gt;"")</formula>
    </cfRule>
    <cfRule type="expression" dxfId="611" priority="227">
      <formula>BZ65="Yes"</formula>
    </cfRule>
  </conditionalFormatting>
  <conditionalFormatting sqref="CE65:CE66">
    <cfRule type="expression" dxfId="610" priority="223">
      <formula>AND(CC65="Yes",CE65&lt;&gt;"")</formula>
    </cfRule>
    <cfRule type="expression" dxfId="609" priority="224">
      <formula>CC65="Yes"</formula>
    </cfRule>
  </conditionalFormatting>
  <conditionalFormatting sqref="CH65:CH66">
    <cfRule type="expression" dxfId="608" priority="220">
      <formula>AND(CF65="Yes",CH65&lt;&gt;"")</formula>
    </cfRule>
    <cfRule type="expression" dxfId="607" priority="221">
      <formula>CF65="Yes"</formula>
    </cfRule>
  </conditionalFormatting>
  <conditionalFormatting sqref="CK65:CK66">
    <cfRule type="expression" dxfId="606" priority="217">
      <formula>AND(CI65="Yes",CK65&lt;&gt;"")</formula>
    </cfRule>
    <cfRule type="expression" dxfId="605" priority="218">
      <formula>CI65="Yes"</formula>
    </cfRule>
  </conditionalFormatting>
  <conditionalFormatting sqref="CN65:CN66">
    <cfRule type="expression" dxfId="604" priority="214">
      <formula>AND(CL65="Yes",CN65&lt;&gt;"")</formula>
    </cfRule>
    <cfRule type="expression" dxfId="603" priority="215">
      <formula>CL65="Yes"</formula>
    </cfRule>
  </conditionalFormatting>
  <conditionalFormatting sqref="CQ65:CQ66">
    <cfRule type="expression" dxfId="602" priority="211">
      <formula>AND(CO65="Yes",CQ65&lt;&gt;"")</formula>
    </cfRule>
    <cfRule type="expression" dxfId="601" priority="212">
      <formula>CO65="Yes"</formula>
    </cfRule>
  </conditionalFormatting>
  <conditionalFormatting sqref="K70">
    <cfRule type="expression" dxfId="600" priority="208">
      <formula>AND(I70="Yes",K70&lt;&gt;"")</formula>
    </cfRule>
    <cfRule type="expression" dxfId="599" priority="209">
      <formula>I70="Yes"</formula>
    </cfRule>
  </conditionalFormatting>
  <conditionalFormatting sqref="N70">
    <cfRule type="expression" dxfId="598" priority="205">
      <formula>AND(L70="Yes",N70&lt;&gt;"")</formula>
    </cfRule>
    <cfRule type="expression" dxfId="597" priority="206">
      <formula>L70="Yes"</formula>
    </cfRule>
  </conditionalFormatting>
  <conditionalFormatting sqref="Q70">
    <cfRule type="expression" dxfId="596" priority="202">
      <formula>AND(O70="Yes",Q70&lt;&gt;"")</formula>
    </cfRule>
    <cfRule type="expression" dxfId="595" priority="203">
      <formula>O70="Yes"</formula>
    </cfRule>
  </conditionalFormatting>
  <conditionalFormatting sqref="T70">
    <cfRule type="expression" dxfId="594" priority="199">
      <formula>AND(R70="Yes",T70&lt;&gt;"")</formula>
    </cfRule>
    <cfRule type="expression" dxfId="593" priority="200">
      <formula>R70="Yes"</formula>
    </cfRule>
  </conditionalFormatting>
  <conditionalFormatting sqref="W70">
    <cfRule type="expression" dxfId="592" priority="196">
      <formula>AND(U70="Yes",W70&lt;&gt;"")</formula>
    </cfRule>
    <cfRule type="expression" dxfId="591" priority="197">
      <formula>U70="Yes"</formula>
    </cfRule>
  </conditionalFormatting>
  <conditionalFormatting sqref="Z70">
    <cfRule type="expression" dxfId="590" priority="193">
      <formula>AND(X70="Yes",Z70&lt;&gt;"")</formula>
    </cfRule>
    <cfRule type="expression" dxfId="589" priority="194">
      <formula>X70="Yes"</formula>
    </cfRule>
  </conditionalFormatting>
  <conditionalFormatting sqref="AC70">
    <cfRule type="expression" dxfId="588" priority="190">
      <formula>AND(AA70="Yes",AC70&lt;&gt;"")</formula>
    </cfRule>
    <cfRule type="expression" dxfId="587" priority="191">
      <formula>AA70="Yes"</formula>
    </cfRule>
  </conditionalFormatting>
  <conditionalFormatting sqref="AF70">
    <cfRule type="expression" dxfId="586" priority="187">
      <formula>AND(AD70="Yes",AF70&lt;&gt;"")</formula>
    </cfRule>
    <cfRule type="expression" dxfId="585" priority="188">
      <formula>AD70="Yes"</formula>
    </cfRule>
  </conditionalFormatting>
  <conditionalFormatting sqref="AI70">
    <cfRule type="expression" dxfId="584" priority="184">
      <formula>AND(AG70="Yes",AI70&lt;&gt;"")</formula>
    </cfRule>
    <cfRule type="expression" dxfId="583" priority="185">
      <formula>AG70="Yes"</formula>
    </cfRule>
  </conditionalFormatting>
  <conditionalFormatting sqref="AL70">
    <cfRule type="expression" dxfId="582" priority="181">
      <formula>AND(AJ70="Yes",AL70&lt;&gt;"")</formula>
    </cfRule>
    <cfRule type="expression" dxfId="581" priority="182">
      <formula>AJ70="Yes"</formula>
    </cfRule>
  </conditionalFormatting>
  <conditionalFormatting sqref="AO70">
    <cfRule type="expression" dxfId="580" priority="178">
      <formula>AND(AM70="Yes",AO70&lt;&gt;"")</formula>
    </cfRule>
    <cfRule type="expression" dxfId="579" priority="179">
      <formula>AM70="Yes"</formula>
    </cfRule>
  </conditionalFormatting>
  <conditionalFormatting sqref="AR70">
    <cfRule type="expression" dxfId="578" priority="175">
      <formula>AND(AP70="Yes",AR70&lt;&gt;"")</formula>
    </cfRule>
    <cfRule type="expression" dxfId="577" priority="176">
      <formula>AP70="Yes"</formula>
    </cfRule>
  </conditionalFormatting>
  <conditionalFormatting sqref="AU70">
    <cfRule type="expression" dxfId="576" priority="172">
      <formula>AND(AS70="Yes",AU70&lt;&gt;"")</formula>
    </cfRule>
    <cfRule type="expression" dxfId="575" priority="173">
      <formula>AS70="Yes"</formula>
    </cfRule>
  </conditionalFormatting>
  <conditionalFormatting sqref="AX70">
    <cfRule type="expression" dxfId="574" priority="169">
      <formula>AND(AV70="Yes",AX70&lt;&gt;"")</formula>
    </cfRule>
    <cfRule type="expression" dxfId="573" priority="170">
      <formula>AV70="Yes"</formula>
    </cfRule>
  </conditionalFormatting>
  <conditionalFormatting sqref="BA70">
    <cfRule type="expression" dxfId="572" priority="166">
      <formula>AND(AY70="Yes",BA70&lt;&gt;"")</formula>
    </cfRule>
    <cfRule type="expression" dxfId="571" priority="167">
      <formula>AY70="Yes"</formula>
    </cfRule>
  </conditionalFormatting>
  <conditionalFormatting sqref="BD70">
    <cfRule type="expression" dxfId="570" priority="163">
      <formula>AND(BB70="Yes",BD70&lt;&gt;"")</formula>
    </cfRule>
    <cfRule type="expression" dxfId="569" priority="164">
      <formula>BB70="Yes"</formula>
    </cfRule>
  </conditionalFormatting>
  <conditionalFormatting sqref="BG70">
    <cfRule type="expression" dxfId="568" priority="160">
      <formula>AND(BE70="Yes",BG70&lt;&gt;"")</formula>
    </cfRule>
    <cfRule type="expression" dxfId="567" priority="161">
      <formula>BE70="Yes"</formula>
    </cfRule>
  </conditionalFormatting>
  <conditionalFormatting sqref="BJ70">
    <cfRule type="expression" dxfId="566" priority="157">
      <formula>AND(BH70="Yes",BJ70&lt;&gt;"")</formula>
    </cfRule>
    <cfRule type="expression" dxfId="565" priority="158">
      <formula>BH70="Yes"</formula>
    </cfRule>
  </conditionalFormatting>
  <conditionalFormatting sqref="BM70">
    <cfRule type="expression" dxfId="564" priority="154">
      <formula>AND(BK70="Yes",BM70&lt;&gt;"")</formula>
    </cfRule>
    <cfRule type="expression" dxfId="563" priority="155">
      <formula>BK70="Yes"</formula>
    </cfRule>
  </conditionalFormatting>
  <conditionalFormatting sqref="BP70">
    <cfRule type="expression" dxfId="562" priority="151">
      <formula>AND(BN70="Yes",BP70&lt;&gt;"")</formula>
    </cfRule>
    <cfRule type="expression" dxfId="561" priority="152">
      <formula>BN70="Yes"</formula>
    </cfRule>
  </conditionalFormatting>
  <conditionalFormatting sqref="BS70">
    <cfRule type="expression" dxfId="560" priority="148">
      <formula>AND(BQ70="Yes",BS70&lt;&gt;"")</formula>
    </cfRule>
    <cfRule type="expression" dxfId="559" priority="149">
      <formula>BQ70="Yes"</formula>
    </cfRule>
  </conditionalFormatting>
  <conditionalFormatting sqref="BV70">
    <cfRule type="expression" dxfId="558" priority="145">
      <formula>AND(BT70="Yes",BV70&lt;&gt;"")</formula>
    </cfRule>
    <cfRule type="expression" dxfId="557" priority="146">
      <formula>BT70="Yes"</formula>
    </cfRule>
  </conditionalFormatting>
  <conditionalFormatting sqref="BY70">
    <cfRule type="expression" dxfId="556" priority="142">
      <formula>AND(BW70="Yes",BY70&lt;&gt;"")</formula>
    </cfRule>
    <cfRule type="expression" dxfId="555" priority="143">
      <formula>BW70="Yes"</formula>
    </cfRule>
  </conditionalFormatting>
  <conditionalFormatting sqref="CB70">
    <cfRule type="expression" dxfId="554" priority="139">
      <formula>AND(BZ70="Yes",CB70&lt;&gt;"")</formula>
    </cfRule>
    <cfRule type="expression" dxfId="553" priority="140">
      <formula>BZ70="Yes"</formula>
    </cfRule>
  </conditionalFormatting>
  <conditionalFormatting sqref="CE70">
    <cfRule type="expression" dxfId="552" priority="136">
      <formula>AND(CC70="Yes",CE70&lt;&gt;"")</formula>
    </cfRule>
    <cfRule type="expression" dxfId="551" priority="137">
      <formula>CC70="Yes"</formula>
    </cfRule>
  </conditionalFormatting>
  <conditionalFormatting sqref="CH70">
    <cfRule type="expression" dxfId="550" priority="133">
      <formula>AND(CF70="Yes",CH70&lt;&gt;"")</formula>
    </cfRule>
    <cfRule type="expression" dxfId="549" priority="134">
      <formula>CF70="Yes"</formula>
    </cfRule>
  </conditionalFormatting>
  <conditionalFormatting sqref="CK70">
    <cfRule type="expression" dxfId="548" priority="130">
      <formula>AND(CI70="Yes",CK70&lt;&gt;"")</formula>
    </cfRule>
    <cfRule type="expression" dxfId="547" priority="131">
      <formula>CI70="Yes"</formula>
    </cfRule>
  </conditionalFormatting>
  <conditionalFormatting sqref="CN70">
    <cfRule type="expression" dxfId="546" priority="127">
      <formula>AND(CL70="Yes",CN70&lt;&gt;"")</formula>
    </cfRule>
    <cfRule type="expression" dxfId="545" priority="128">
      <formula>CL70="Yes"</formula>
    </cfRule>
  </conditionalFormatting>
  <conditionalFormatting sqref="CQ70">
    <cfRule type="expression" dxfId="544" priority="124">
      <formula>AND(CO70="Yes",CQ70&lt;&gt;"")</formula>
    </cfRule>
    <cfRule type="expression" dxfId="543" priority="125">
      <formula>CO70="Yes"</formula>
    </cfRule>
  </conditionalFormatting>
  <conditionalFormatting sqref="K72:K74 K77">
    <cfRule type="expression" dxfId="542" priority="121">
      <formula>AND(I72="Yes",K72&lt;&gt;"")</formula>
    </cfRule>
    <cfRule type="expression" dxfId="541" priority="122">
      <formula>I72="Yes"</formula>
    </cfRule>
  </conditionalFormatting>
  <conditionalFormatting sqref="N72:N74 N77">
    <cfRule type="expression" dxfId="540" priority="118">
      <formula>AND(L72="Yes",N72&lt;&gt;"")</formula>
    </cfRule>
    <cfRule type="expression" dxfId="539" priority="119">
      <formula>L72="Yes"</formula>
    </cfRule>
  </conditionalFormatting>
  <conditionalFormatting sqref="Q72:Q74 Q77">
    <cfRule type="expression" dxfId="538" priority="115">
      <formula>AND(O72="Yes",Q72&lt;&gt;"")</formula>
    </cfRule>
    <cfRule type="expression" dxfId="537" priority="116">
      <formula>O72="Yes"</formula>
    </cfRule>
  </conditionalFormatting>
  <conditionalFormatting sqref="T72:T74 T77">
    <cfRule type="expression" dxfId="536" priority="112">
      <formula>AND(R72="Yes",T72&lt;&gt;"")</formula>
    </cfRule>
    <cfRule type="expression" dxfId="535" priority="113">
      <formula>R72="Yes"</formula>
    </cfRule>
  </conditionalFormatting>
  <conditionalFormatting sqref="W72:W74 W77">
    <cfRule type="expression" dxfId="534" priority="109">
      <formula>AND(U72="Yes",W72&lt;&gt;"")</formula>
    </cfRule>
    <cfRule type="expression" dxfId="533" priority="110">
      <formula>U72="Yes"</formula>
    </cfRule>
  </conditionalFormatting>
  <conditionalFormatting sqref="Z72:Z74 Z77">
    <cfRule type="expression" dxfId="532" priority="106">
      <formula>AND(X72="Yes",Z72&lt;&gt;"")</formula>
    </cfRule>
    <cfRule type="expression" dxfId="531" priority="107">
      <formula>X72="Yes"</formula>
    </cfRule>
  </conditionalFormatting>
  <conditionalFormatting sqref="AC72:AC74 AC77">
    <cfRule type="expression" dxfId="530" priority="103">
      <formula>AND(AA72="Yes",AC72&lt;&gt;"")</formula>
    </cfRule>
    <cfRule type="expression" dxfId="529" priority="104">
      <formula>AA72="Yes"</formula>
    </cfRule>
  </conditionalFormatting>
  <conditionalFormatting sqref="AF72:AF74 AF77">
    <cfRule type="expression" dxfId="528" priority="100">
      <formula>AND(AD72="Yes",AF72&lt;&gt;"")</formula>
    </cfRule>
    <cfRule type="expression" dxfId="527" priority="101">
      <formula>AD72="Yes"</formula>
    </cfRule>
  </conditionalFormatting>
  <conditionalFormatting sqref="AI72:AI74 AI77">
    <cfRule type="expression" dxfId="526" priority="97">
      <formula>AND(AG72="Yes",AI72&lt;&gt;"")</formula>
    </cfRule>
    <cfRule type="expression" dxfId="525" priority="98">
      <formula>AG72="Yes"</formula>
    </cfRule>
  </conditionalFormatting>
  <conditionalFormatting sqref="AL72:AL74 AL77">
    <cfRule type="expression" dxfId="524" priority="94">
      <formula>AND(AJ72="Yes",AL72&lt;&gt;"")</formula>
    </cfRule>
    <cfRule type="expression" dxfId="523" priority="95">
      <formula>AJ72="Yes"</formula>
    </cfRule>
  </conditionalFormatting>
  <conditionalFormatting sqref="AO72:AO74 AO77">
    <cfRule type="expression" dxfId="522" priority="91">
      <formula>AND(AM72="Yes",AO72&lt;&gt;"")</formula>
    </cfRule>
    <cfRule type="expression" dxfId="521" priority="92">
      <formula>AM72="Yes"</formula>
    </cfRule>
  </conditionalFormatting>
  <conditionalFormatting sqref="AR72:AR74 AR77">
    <cfRule type="expression" dxfId="520" priority="88">
      <formula>AND(AP72="Yes",AR72&lt;&gt;"")</formula>
    </cfRule>
    <cfRule type="expression" dxfId="519" priority="89">
      <formula>AP72="Yes"</formula>
    </cfRule>
  </conditionalFormatting>
  <conditionalFormatting sqref="AU72:AU74 AU77">
    <cfRule type="expression" dxfId="518" priority="85">
      <formula>AND(AS72="Yes",AU72&lt;&gt;"")</formula>
    </cfRule>
    <cfRule type="expression" dxfId="517" priority="86">
      <formula>AS72="Yes"</formula>
    </cfRule>
  </conditionalFormatting>
  <conditionalFormatting sqref="AX72:AX74 AX77">
    <cfRule type="expression" dxfId="516" priority="82">
      <formula>AND(AV72="Yes",AX72&lt;&gt;"")</formula>
    </cfRule>
    <cfRule type="expression" dxfId="515" priority="83">
      <formula>AV72="Yes"</formula>
    </cfRule>
  </conditionalFormatting>
  <conditionalFormatting sqref="BA72:BA74 BA77">
    <cfRule type="expression" dxfId="514" priority="79">
      <formula>AND(AY72="Yes",BA72&lt;&gt;"")</formula>
    </cfRule>
    <cfRule type="expression" dxfId="513" priority="80">
      <formula>AY72="Yes"</formula>
    </cfRule>
  </conditionalFormatting>
  <conditionalFormatting sqref="BD72:BD74 BD77">
    <cfRule type="expression" dxfId="512" priority="76">
      <formula>AND(BB72="Yes",BD72&lt;&gt;"")</formula>
    </cfRule>
    <cfRule type="expression" dxfId="511" priority="77">
      <formula>BB72="Yes"</formula>
    </cfRule>
  </conditionalFormatting>
  <conditionalFormatting sqref="BG72:BG74 BG77">
    <cfRule type="expression" dxfId="510" priority="73">
      <formula>AND(BE72="Yes",BG72&lt;&gt;"")</formula>
    </cfRule>
    <cfRule type="expression" dxfId="509" priority="74">
      <formula>BE72="Yes"</formula>
    </cfRule>
  </conditionalFormatting>
  <conditionalFormatting sqref="BJ72:BJ74 BJ77">
    <cfRule type="expression" dxfId="508" priority="70">
      <formula>AND(BH72="Yes",BJ72&lt;&gt;"")</formula>
    </cfRule>
    <cfRule type="expression" dxfId="507" priority="71">
      <formula>BH72="Yes"</formula>
    </cfRule>
  </conditionalFormatting>
  <conditionalFormatting sqref="BM72:BM74 BM77">
    <cfRule type="expression" dxfId="506" priority="67">
      <formula>AND(BK72="Yes",BM72&lt;&gt;"")</formula>
    </cfRule>
    <cfRule type="expression" dxfId="505" priority="68">
      <formula>BK72="Yes"</formula>
    </cfRule>
  </conditionalFormatting>
  <conditionalFormatting sqref="BP72:BP74 BP77">
    <cfRule type="expression" dxfId="504" priority="64">
      <formula>AND(BN72="Yes",BP72&lt;&gt;"")</formula>
    </cfRule>
    <cfRule type="expression" dxfId="503" priority="65">
      <formula>BN72="Yes"</formula>
    </cfRule>
  </conditionalFormatting>
  <conditionalFormatting sqref="BS72:BS74 BS77">
    <cfRule type="expression" dxfId="502" priority="61">
      <formula>AND(BQ72="Yes",BS72&lt;&gt;"")</formula>
    </cfRule>
    <cfRule type="expression" dxfId="501" priority="62">
      <formula>BQ72="Yes"</formula>
    </cfRule>
  </conditionalFormatting>
  <conditionalFormatting sqref="BV72:BV74 BV77">
    <cfRule type="expression" dxfId="500" priority="58">
      <formula>AND(BT72="Yes",BV72&lt;&gt;"")</formula>
    </cfRule>
    <cfRule type="expression" dxfId="499" priority="59">
      <formula>BT72="Yes"</formula>
    </cfRule>
  </conditionalFormatting>
  <conditionalFormatting sqref="BY72:BY74 BY77">
    <cfRule type="expression" dxfId="498" priority="55">
      <formula>AND(BW72="Yes",BY72&lt;&gt;"")</formula>
    </cfRule>
    <cfRule type="expression" dxfId="497" priority="56">
      <formula>BW72="Yes"</formula>
    </cfRule>
  </conditionalFormatting>
  <conditionalFormatting sqref="CB72:CB74 CB77">
    <cfRule type="expression" dxfId="496" priority="52">
      <formula>AND(BZ72="Yes",CB72&lt;&gt;"")</formula>
    </cfRule>
    <cfRule type="expression" dxfId="495" priority="53">
      <formula>BZ72="Yes"</formula>
    </cfRule>
  </conditionalFormatting>
  <conditionalFormatting sqref="CE72:CE74 CE77">
    <cfRule type="expression" dxfId="494" priority="49">
      <formula>AND(CC72="Yes",CE72&lt;&gt;"")</formula>
    </cfRule>
    <cfRule type="expression" dxfId="493" priority="50">
      <formula>CC72="Yes"</formula>
    </cfRule>
  </conditionalFormatting>
  <conditionalFormatting sqref="CH72:CH74 CH77">
    <cfRule type="expression" dxfId="492" priority="46">
      <formula>AND(CF72="Yes",CH72&lt;&gt;"")</formula>
    </cfRule>
    <cfRule type="expression" dxfId="491" priority="47">
      <formula>CF72="Yes"</formula>
    </cfRule>
  </conditionalFormatting>
  <conditionalFormatting sqref="CK72:CK74 CK77">
    <cfRule type="expression" dxfId="490" priority="43">
      <formula>AND(CI72="Yes",CK72&lt;&gt;"")</formula>
    </cfRule>
    <cfRule type="expression" dxfId="489" priority="44">
      <formula>CI72="Yes"</formula>
    </cfRule>
  </conditionalFormatting>
  <conditionalFormatting sqref="CN72:CN74 CN77">
    <cfRule type="expression" dxfId="488" priority="40">
      <formula>AND(CL72="Yes",CN72&lt;&gt;"")</formula>
    </cfRule>
    <cfRule type="expression" dxfId="487" priority="41">
      <formula>CL72="Yes"</formula>
    </cfRule>
  </conditionalFormatting>
  <conditionalFormatting sqref="CQ72:CQ74 CQ77">
    <cfRule type="expression" dxfId="486" priority="37">
      <formula>AND(CO72="Yes",CQ72&lt;&gt;"")</formula>
    </cfRule>
    <cfRule type="expression" dxfId="485" priority="38">
      <formula>CO72="Yes"</formula>
    </cfRule>
  </conditionalFormatting>
  <conditionalFormatting sqref="F77">
    <cfRule type="expression" dxfId="484" priority="32">
      <formula>F77=""</formula>
    </cfRule>
  </conditionalFormatting>
  <conditionalFormatting sqref="F76:H76">
    <cfRule type="expression" dxfId="483" priority="540">
      <formula>F76=""</formula>
    </cfRule>
  </conditionalFormatting>
  <conditionalFormatting sqref="I77">
    <cfRule type="expression" dxfId="482" priority="875">
      <formula>$I$77=""</formula>
    </cfRule>
  </conditionalFormatting>
  <conditionalFormatting sqref="L77">
    <cfRule type="expression" dxfId="481" priority="873">
      <formula>$L$77=""</formula>
    </cfRule>
  </conditionalFormatting>
  <conditionalFormatting sqref="O77">
    <cfRule type="expression" dxfId="480" priority="871">
      <formula>$O$77=""</formula>
    </cfRule>
  </conditionalFormatting>
  <conditionalFormatting sqref="R77">
    <cfRule type="expression" dxfId="479" priority="869">
      <formula>$R$77=""</formula>
    </cfRule>
  </conditionalFormatting>
  <conditionalFormatting sqref="U77">
    <cfRule type="expression" dxfId="478" priority="867">
      <formula>$U$77=""</formula>
    </cfRule>
  </conditionalFormatting>
  <conditionalFormatting sqref="X77">
    <cfRule type="expression" dxfId="477" priority="865">
      <formula>$X$77=""</formula>
    </cfRule>
  </conditionalFormatting>
  <conditionalFormatting sqref="AA77">
    <cfRule type="expression" dxfId="476" priority="863">
      <formula>$AA$77=""</formula>
    </cfRule>
  </conditionalFormatting>
  <conditionalFormatting sqref="AD77">
    <cfRule type="expression" dxfId="475" priority="861">
      <formula>$AD$77=""</formula>
    </cfRule>
  </conditionalFormatting>
  <conditionalFormatting sqref="AG77">
    <cfRule type="expression" dxfId="474" priority="859">
      <formula>$AG$77=""</formula>
    </cfRule>
  </conditionalFormatting>
  <conditionalFormatting sqref="AJ77">
    <cfRule type="expression" dxfId="473" priority="857">
      <formula>$AJ$77=""</formula>
    </cfRule>
  </conditionalFormatting>
  <conditionalFormatting sqref="AM77">
    <cfRule type="expression" dxfId="472" priority="855">
      <formula>$AM$77=""</formula>
    </cfRule>
  </conditionalFormatting>
  <conditionalFormatting sqref="AP77">
    <cfRule type="expression" dxfId="471" priority="851">
      <formula>$AP$77=""</formula>
    </cfRule>
  </conditionalFormatting>
  <conditionalFormatting sqref="AS77">
    <cfRule type="expression" dxfId="470" priority="849">
      <formula>$AS$77=""</formula>
    </cfRule>
  </conditionalFormatting>
  <conditionalFormatting sqref="AV77">
    <cfRule type="expression" dxfId="469" priority="847">
      <formula>$AV$77=""</formula>
    </cfRule>
  </conditionalFormatting>
  <conditionalFormatting sqref="AY77">
    <cfRule type="expression" dxfId="468" priority="845">
      <formula>$AY$77=""</formula>
    </cfRule>
  </conditionalFormatting>
  <conditionalFormatting sqref="BB77">
    <cfRule type="expression" dxfId="467" priority="843">
      <formula>$BB$77=""</formula>
    </cfRule>
  </conditionalFormatting>
  <conditionalFormatting sqref="BE77">
    <cfRule type="expression" dxfId="466" priority="841">
      <formula>$BE$77=""</formula>
    </cfRule>
  </conditionalFormatting>
  <conditionalFormatting sqref="BH77">
    <cfRule type="expression" dxfId="465" priority="839">
      <formula>$BH$77=""</formula>
    </cfRule>
  </conditionalFormatting>
  <conditionalFormatting sqref="BK77">
    <cfRule type="expression" dxfId="464" priority="837">
      <formula>$BK$77=""</formula>
    </cfRule>
  </conditionalFormatting>
  <conditionalFormatting sqref="BN77">
    <cfRule type="expression" dxfId="463" priority="825">
      <formula>$BN$77=""</formula>
    </cfRule>
  </conditionalFormatting>
  <conditionalFormatting sqref="BQ77">
    <cfRule type="expression" dxfId="462" priority="877">
      <formula>$BQ$77=""</formula>
    </cfRule>
  </conditionalFormatting>
  <conditionalFormatting sqref="BT77">
    <cfRule type="expression" dxfId="461" priority="823">
      <formula>$BT$77=""</formula>
    </cfRule>
  </conditionalFormatting>
  <conditionalFormatting sqref="BW77">
    <cfRule type="expression" dxfId="460" priority="822">
      <formula>$BW$77=""</formula>
    </cfRule>
  </conditionalFormatting>
  <conditionalFormatting sqref="BZ77">
    <cfRule type="expression" dxfId="459" priority="821">
      <formula>$BZ$77=""</formula>
    </cfRule>
  </conditionalFormatting>
  <conditionalFormatting sqref="CC77">
    <cfRule type="expression" dxfId="458" priority="819">
      <formula>$CC$77=""</formula>
    </cfRule>
  </conditionalFormatting>
  <conditionalFormatting sqref="CF77">
    <cfRule type="expression" dxfId="457" priority="816">
      <formula>$CF$77=""</formula>
    </cfRule>
  </conditionalFormatting>
  <conditionalFormatting sqref="CI77">
    <cfRule type="expression" dxfId="456" priority="814">
      <formula>$CI$77=""</formula>
    </cfRule>
  </conditionalFormatting>
  <conditionalFormatting sqref="CL77">
    <cfRule type="expression" dxfId="455" priority="811">
      <formula>$CL$77=""</formula>
    </cfRule>
  </conditionalFormatting>
  <conditionalFormatting sqref="CO77">
    <cfRule type="expression" dxfId="454" priority="541">
      <formula>$CO$77=""</formula>
    </cfRule>
  </conditionalFormatting>
  <conditionalFormatting sqref="F91:CQ91">
    <cfRule type="containsText" dxfId="453" priority="1" operator="containsText" text="Incomplete">
      <formula>NOT(ISERROR(SEARCH("Incomplete",F91)))</formula>
    </cfRule>
  </conditionalFormatting>
  <dataValidations count="8">
    <dataValidation type="list" allowBlank="1" showInputMessage="1" showErrorMessage="1" sqref="CO70 CI70 CL76:CL77 F62:CQ62 F70 I60:I61 L60:L61 O60:O61 R60:R61 U60:U61 X60:X61 AA60:AA61 AD60:AD61 AG60:AG61 AJ60:AJ61 AM60:AM61 AP60:AP61 AS60:AS61 AV60:AV61 AY60:AY61 BB60:BB61 BE60:BE61 BH60:BH61 BK60:BK61 BN60:BN61 BQ60:BQ61 BT60:BT61 BW60:BW61 BZ60:BZ61 CC60:CC61 CF60:CF61 CI60:CI61 CL60:CL61 CO60:CO61 I65:I66 L65:L66 O65:O66 R65:R66 I76:I77 U65:U66 X65:X66 AA65:AA66 AD65:AD66 AG65:AG66 AJ65:AJ66 AM65:AM66 AP65:AP66 AS65:AS66 AV65:AV66 AY65:AY66 BB65:BB66 BE65:BE66 BH65:BH66 BK65:BK66 BN65:BN66 BQ65:BQ66 BT65:BT66 BW65:BW66 BZ65:BZ66 CC65:CC66 CF65:CF66 CI65:CI66 CL65:CL66 L76:L77 O76:O77 R76:R77 U76:U77 X76:X77 AA76:AA77 AD76:AD77 AG76:AG77 AJ76:AJ77 AM76:AM77 AP76:AP77 AS76:AS77 AV76:AV77 AY76:AY77 BB76:BB77 BE76:BE77 BH76:BH77 BK76:BK77 BN76:BN77 BQ76:BQ77 BT76:BT77 BW76:BW77 BZ76:BZ77 CC76:CC77 CF76:CF77 CI76:CI77 F76:F77 CL70 F63 F67:CQ67 I63 L63 O63 R63 U63 X63 AA63 AD63 AG63 AJ63 AM63 AP63 AS63 AV63 AY63 BB63 BE63 BH63 BK63 BN63 BQ63 BT63 BW63 BZ63 CC63 CF63 CI63 CL63 CO63 CO65:CO66 I70 L70 O70 R70 U70 X70 AA70 AD70 AG70 AJ70 AM70 AP70 AS70 AV70 AY70 BB70 BE70 BH70 BK70 BN70 BQ70 BT70 BW70 BZ70 CC70 CF70 F59:CQ59 F60:F61 F65:F66 F72:F74 CI72:CI74 CF72:CF74 CC72:CC74 BZ72:BZ74 BW72:BW74 BT72:BT74 BQ72:BQ74 BN72:BN74 BK72:BK74 BH72:BH74 BE72:BE74 BB72:BB74 AY72:AY74 AV72:AV74 AS72:AS74 AP72:AP74 AM72:AM74 AJ72:AJ74 AG72:AG74 AD72:AD74 AA72:AA74 X72:X74 U72:U74 R72:R74 O72:O74 L72:L74 I72:I74 CL72:CL74 CO72:CO74 CO76:CO77" xr:uid="{E147E9FC-BA45-4B2D-9A3A-D866D29C8348}">
      <formula1>"Yes,No"</formula1>
    </dataValidation>
    <dataValidation type="list" allowBlank="1" showInputMessage="1" showErrorMessage="1" sqref="F68:CQ69" xr:uid="{5167FE19-9C89-4468-A8EE-0C14BA32D1BA}">
      <formula1>"Yes,No,Not applicable"</formula1>
    </dataValidation>
    <dataValidation operator="greaterThan" allowBlank="1" showInputMessage="1" showErrorMessage="1" errorTitle="Invalid information" error="You must enter a numeric value" sqref="F47:CQ47" xr:uid="{82420941-C451-41FF-BCCD-B88972B69A0A}"/>
    <dataValidation type="whole" operator="greaterThan" allowBlank="1" showInputMessage="1" showErrorMessage="1" sqref="F84:H84" xr:uid="{5588BD82-D9CD-4A54-BAE0-101E9595953F}">
      <formula1>0</formula1>
    </dataValidation>
    <dataValidation type="whole" operator="greaterThanOrEqual" allowBlank="1" showInputMessage="1" showErrorMessage="1" errorTitle="Invalid response" error="A numeric value must be entered. If you do not know the number of candidate predictors assessed, enter the value 0." sqref="F38:CQ38" xr:uid="{F67717C1-1953-42E0-BE1B-25B0CE34C458}">
      <formula1>0</formula1>
    </dataValidation>
    <dataValidation type="list" allowBlank="1" showInputMessage="1" showErrorMessage="1" sqref="F41:CQ42 F35:CQ35 F86:CQ86 F56:CQ56" xr:uid="{CC0808D0-CC52-4248-9463-CDBC2521B652}">
      <formula1>"Yes,No,Unclear,No information"</formula1>
    </dataValidation>
    <dataValidation allowBlank="1" showInputMessage="1" showErrorMessage="1" errorTitle="Invalid response" error="A numeric value must be entered. If you do not know the number of candidate predictors assessed, enter the value 0." sqref="F45:CQ46" xr:uid="{53DB5B2C-7C16-4C02-B8D9-E2F5F5581834}"/>
    <dataValidation type="list" allowBlank="1" showInputMessage="1" showErrorMessage="1" sqref="F34:CQ34 F32:CQ32" xr:uid="{3DA3050E-1204-427B-8E98-D91D7916627B}">
      <formula1>"Yes, No, Unclear, No information"</formula1>
    </dataValidation>
  </dataValidations>
  <pageMargins left="0.7" right="0.7" top="0.75" bottom="0.75" header="0.3" footer="0.3"/>
  <pageSetup paperSize="9" orientation="portrait" r:id="rId1"/>
  <ignoredErrors>
    <ignoredError sqref="F47:CQ47 F75 G75:CQ75"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28" id="{6CCB019E-4C1B-43EE-888C-D607249BC029}">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O6:Q23 O29:Q59 O62:Q62 O60:P61 O64:Q64 O63:P63 O67:Q69 O65:P66 O71:Q71 O70:P70 O78:Q93 O72:P74 O77:P77 O75:O76</xm:sqref>
        </x14:conditionalFormatting>
        <x14:conditionalFormatting xmlns:xm="http://schemas.microsoft.com/office/excel/2006/main">
          <x14:cfRule type="expression" priority="27" id="{ED860E3D-F1D6-450F-B55B-78F96023A7CE}">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R6:T23 R29:T59 R62:T62 R60:S61 R64:T64 R63:S63 R67:T69 R65:S66 R71:T71 R70:S70 R78:T93 R72:S74 R77:S77 R75:R76</xm:sqref>
        </x14:conditionalFormatting>
        <x14:conditionalFormatting xmlns:xm="http://schemas.microsoft.com/office/excel/2006/main">
          <x14:cfRule type="expression" priority="24" id="{8351F499-0116-4C32-AE33-1151E4424C92}">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AA6:AC23 AA29:AC59 AA62:AC62 AA60:AB61 AA64:AC64 AA63:AB63 AA67:AC69 AA65:AB66 AA71:AC71 AA70:AB70 AA78:AC93 AA72:AB74 AA77:AB77 AA75:AA76</xm:sqref>
        </x14:conditionalFormatting>
        <x14:conditionalFormatting xmlns:xm="http://schemas.microsoft.com/office/excel/2006/main">
          <x14:cfRule type="expression" priority="31" id="{54404DDE-DAB6-4CDA-A995-6FB2E4C356C6}">
            <xm:f>SUMMARY!$B$7=FALSE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F6:H23 F77:H93 F29:H75 F76:F77</xm:sqref>
        </x14:conditionalFormatting>
        <x14:conditionalFormatting xmlns:xm="http://schemas.microsoft.com/office/excel/2006/main">
          <x14:cfRule type="expression" priority="30" id="{3ECB1214-485D-4030-B3FE-F9E12C5121AE}">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I6:K22 I23:J23 I29:K59 I62:K62 I60:J61 I64:K64 I63:J63 I67:K69 I65:J66 I71:K71 I70:J70 I78:K93 I72:J74 I77:J77 I75:K75 I76</xm:sqref>
        </x14:conditionalFormatting>
        <x14:conditionalFormatting xmlns:xm="http://schemas.microsoft.com/office/excel/2006/main">
          <x14:cfRule type="expression" priority="23" id="{53B85F09-7D86-4893-AD1C-3A3BB903C86E}">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AD6:AF23 AD29:AF59 AD62:AF62 AD60:AE61 AD64:AF64 AD63:AE63 AD67:AF69 AD65:AE66 AD71:AF71 AD70:AE70 AD78:AF93 AD72:AE74 AD77:AE77 AD75:AD76</xm:sqref>
        </x14:conditionalFormatting>
        <x14:conditionalFormatting xmlns:xm="http://schemas.microsoft.com/office/excel/2006/main">
          <x14:cfRule type="expression" priority="22" id="{666EB84B-6B6E-4658-A0A0-243DC3185ABA}">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AG6:AI23 AG29:AI59 AG62:AI62 AG60:AH61 AG64:AI64 AG63:AH63 AG67:AI69 AG65:AH66 AG71:AI71 AG70:AH70 AG78:AI93 AG72:AH74 AG77:AH77 AG75:AG76</xm:sqref>
        </x14:conditionalFormatting>
        <x14:conditionalFormatting xmlns:xm="http://schemas.microsoft.com/office/excel/2006/main">
          <x14:cfRule type="expression" priority="21" id="{4E6E594E-4009-4133-90D0-41E3A7F342EA}">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AJ6:AL23 AJ29:AL59 AJ62:AL62 AJ60:AK61 AJ64:AL64 AJ63:AK63 AJ67:AL69 AJ65:AK66 AJ71:AL71 AJ70:AK70 AJ78:AL93 AJ72:AK74 AJ77:AK77 AJ75:AJ76</xm:sqref>
        </x14:conditionalFormatting>
        <x14:conditionalFormatting xmlns:xm="http://schemas.microsoft.com/office/excel/2006/main">
          <x14:cfRule type="expression" priority="20" id="{EE4DC256-9C47-41FF-B932-00DA8BFFBE3A}">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AM6:AO23 AM29:AO59 AM62:AO62 AM60:AN61 AM64:AO64 AM63:AN63 AM67:AO69 AM65:AN66 AM71:AO71 AM70:AN70 AM78:AO93 AM72:AN74 AM77:AN77 AM75:AM76</xm:sqref>
        </x14:conditionalFormatting>
        <x14:conditionalFormatting xmlns:xm="http://schemas.microsoft.com/office/excel/2006/main">
          <x14:cfRule type="expression" priority="19" id="{FDEF6725-5D5F-452C-89E6-E6A54D821B8A}">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AP6:AR23 AP29:AR59 AP62:AR62 AP60:AQ61 AP64:AR64 AP63:AQ63 AP67:AR69 AP65:AQ66 AP71:AR71 AP70:AQ70 AP78:AR93 AP72:AQ74 AP77:AQ77 AP75:AP76</xm:sqref>
        </x14:conditionalFormatting>
        <x14:conditionalFormatting xmlns:xm="http://schemas.microsoft.com/office/excel/2006/main">
          <x14:cfRule type="expression" priority="18" id="{AABE3C50-07B7-4E9E-BFF8-E3BB4B1FAF36}">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AS6:AU23 AS29:AU59 AS62:AU62 AS60:AT61 AS64:AU64 AS63:AT63 AS67:AU69 AS65:AT66 AS71:AU71 AS70:AT70 AS78:AU93 AS72:AT74 AS77:AT77 AS75:AS76</xm:sqref>
        </x14:conditionalFormatting>
        <x14:conditionalFormatting xmlns:xm="http://schemas.microsoft.com/office/excel/2006/main">
          <x14:cfRule type="expression" priority="17" id="{D904A30B-88C6-4A16-BB80-1C81911229C7}">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AV6:AX23 AV29:AX59 AV62:AX62 AV60:AW61 AV64:AX64 AV63:AW63 AV67:AX69 AV65:AW66 AV71:AX71 AV70:AW70 AV78:AX93 AV72:AW74 AV77:AW77 AV75:AV76</xm:sqref>
        </x14:conditionalFormatting>
        <x14:conditionalFormatting xmlns:xm="http://schemas.microsoft.com/office/excel/2006/main">
          <x14:cfRule type="expression" priority="16" id="{AEDC0B9F-D99D-49AF-8027-804458B8D883}">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AY6:BA23 AY29:BA59 AY62:BA62 AY60:AZ61 AY64:BA64 AY63:AZ63 AY67:BA69 AY65:AZ66 AY71:BA71 AY70:AZ70 AY78:BA93 AY72:AZ74 AY77:AZ77 AY75:AY76</xm:sqref>
        </x14:conditionalFormatting>
        <x14:conditionalFormatting xmlns:xm="http://schemas.microsoft.com/office/excel/2006/main">
          <x14:cfRule type="expression" priority="15" id="{5FD9DE84-9587-45B7-9F14-EC1CDE9E20AF}">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BB6:BD23 BB29:BD59 BB62:BD62 BB60:BC61 BB64:BD64 BB63:BC63 BB67:BD69 BB65:BC66 BB71:BD71 BB70:BC70 BB78:BD93 BB72:BC74 BB77:BC77 BB75:BB76</xm:sqref>
        </x14:conditionalFormatting>
        <x14:conditionalFormatting xmlns:xm="http://schemas.microsoft.com/office/excel/2006/main">
          <x14:cfRule type="expression" priority="14" id="{692BE82F-38C0-4B61-BEBA-C34A69C69214}">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BE6:BG23 BE29:BG59 BE62:BG62 BE60:BF61 BE64:BG64 BE63:BF63 BE67:BG69 BE65:BF66 BE71:BG71 BE70:BF70 BE78:BG93 BE72:BF74 BE77:BF77 BE75:BE76</xm:sqref>
        </x14:conditionalFormatting>
        <x14:conditionalFormatting xmlns:xm="http://schemas.microsoft.com/office/excel/2006/main">
          <x14:cfRule type="expression" priority="13" id="{80523C90-9EE3-448E-94AE-0AFD8AACAB97}">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BH6:BJ23 BH29:BJ59 BH62:BJ62 BH60:BI61 BH64:BJ64 BH63:BI63 BH67:BJ69 BH65:BI66 BH71:BJ71 BH70:BI70 BH78:BJ93 BH72:BI74 BH77:BI77 BH75:BH76</xm:sqref>
        </x14:conditionalFormatting>
        <x14:conditionalFormatting xmlns:xm="http://schemas.microsoft.com/office/excel/2006/main">
          <x14:cfRule type="expression" priority="12" id="{FD9215C2-3297-4729-8D38-7CEE3D515C89}">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BK6:BM23 BK29:BM59 BK62:BM62 BK60:BL61 BK64:BM64 BK63:BL63 BK67:BM69 BK65:BL66 BK71:BM71 BK70:BL70 BK78:BM93 BK72:BL74 BK77:BL77 BK75:BK76</xm:sqref>
        </x14:conditionalFormatting>
        <x14:conditionalFormatting xmlns:xm="http://schemas.microsoft.com/office/excel/2006/main">
          <x14:cfRule type="expression" priority="11" id="{DA8D08AF-06CF-4124-ACF2-43F38AD7244D}">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BN6:BP23 BN29:BP59 BN62:BP62 BN60:BO61 BN64:BP64 BN63:BO63 BN67:BP69 BN65:BO66 BN71:BP71 BN70:BO70 BN78:BP93 BN72:BO74 BN77:BO77 BN75:BN76</xm:sqref>
        </x14:conditionalFormatting>
        <x14:conditionalFormatting xmlns:xm="http://schemas.microsoft.com/office/excel/2006/main">
          <x14:cfRule type="expression" priority="10" id="{1B07B67E-21DE-4ACE-BC05-35BFE014E219}">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BQ6:BS22 BQ29:BS59 BQ62:BS62 BQ60:BR61 BQ64:BS64 BQ63:BR63 BQ67:BS69 BQ65:BR66 BQ71:BS71 BQ70:BR70 BQ78:BS93 BQ72:BR74 BQ77:BR77 BQ75:BQ76</xm:sqref>
        </x14:conditionalFormatting>
        <x14:conditionalFormatting xmlns:xm="http://schemas.microsoft.com/office/excel/2006/main">
          <x14:cfRule type="expression" priority="9" id="{BC4F3E8A-7A13-45F1-89D9-200CB012FA58}">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BT6:BV23 BT29:BV59 BT62:BV62 BT60:BU61 BT64:BV64 BT63:BU63 BT67:BV69 BT65:BU66 BT71:BV71 BT70:BU70 BT78:BV93 BT72:BU74 BT77:BU77 BT75:BT76</xm:sqref>
        </x14:conditionalFormatting>
        <x14:conditionalFormatting xmlns:xm="http://schemas.microsoft.com/office/excel/2006/main">
          <x14:cfRule type="expression" priority="8" id="{DCB7AB33-B189-447D-90C3-F375B579B566}">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BW6:BY23 BW29:BY59 BW62:BY62 BW60:BX61 BW64:BY64 BW63:BX63 BW67:BY69 BW65:BX66 BW71:BY71 BW70:BX70 BW78:BY93 BW72:BX74 BW77:BX77 BW75:BW76</xm:sqref>
        </x14:conditionalFormatting>
        <x14:conditionalFormatting xmlns:xm="http://schemas.microsoft.com/office/excel/2006/main">
          <x14:cfRule type="expression" priority="7" id="{313274CE-A9F2-495A-8105-ED54E8F93F36}">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BZ6:CB23 BZ29:CB59 BZ62:CB62 BZ60:CA61 BZ64:CB64 BZ63:CA63 BZ67:CB69 BZ65:CA66 BZ71:CB71 BZ70:CA70 BZ78:CB93 BZ72:CA74 BZ77:CA77 BZ75:BZ76</xm:sqref>
        </x14:conditionalFormatting>
        <x14:conditionalFormatting xmlns:xm="http://schemas.microsoft.com/office/excel/2006/main">
          <x14:cfRule type="expression" priority="6" id="{27534C75-9CB3-42A6-9C36-858F560D844D}">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CC6:CE23 CC29:CE59 CC62:CE62 CC60:CD61 CC64:CE64 CC63:CD63 CC67:CE69 CC65:CD66 CC71:CE71 CC70:CD70 CC78:CE93 CC72:CD74 CC77:CD77 CC75:CC76</xm:sqref>
        </x14:conditionalFormatting>
        <x14:conditionalFormatting xmlns:xm="http://schemas.microsoft.com/office/excel/2006/main">
          <x14:cfRule type="expression" priority="5" id="{E4D16269-BFA4-4A22-A070-6FA117A183F8}">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CF6:CH23 CF29:CH59 CF62:CH62 CF60:CG61 CF64:CH64 CF63:CG63 CF67:CH69 CF65:CG66 CF71:CH71 CF70:CG70 CF78:CH93 CF72:CG74 CF77:CG77 CF75:CF76</xm:sqref>
        </x14:conditionalFormatting>
        <x14:conditionalFormatting xmlns:xm="http://schemas.microsoft.com/office/excel/2006/main">
          <x14:cfRule type="expression" priority="4" id="{4F9D6491-2B24-45BF-8D64-4623B0D1F9C5}">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CI6:CK23 CI29:CK59 CI62:CK62 CI60:CJ61 CI64:CK64 CI63:CJ63 CI67:CK69 CI65:CJ66 CI71:CK71 CI70:CJ70 CI78:CK93 CI72:CJ74 CI77:CJ77 CI75:CI76</xm:sqref>
        </x14:conditionalFormatting>
        <x14:conditionalFormatting xmlns:xm="http://schemas.microsoft.com/office/excel/2006/main">
          <x14:cfRule type="expression" priority="3" id="{EC8155D6-1C70-45BE-AEE0-EB5AB124018F}">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CL6:CN23 CL29:CN59 CL62:CN62 CL60:CM61 CL64:CN64 CL63:CM63 CL67:CN69 CL65:CM66 CL71:CN71 CL70:CM70 CL78:CN93 CL72:CM74 CL77:CM77 CL75:CL76</xm:sqref>
        </x14:conditionalFormatting>
        <x14:conditionalFormatting xmlns:xm="http://schemas.microsoft.com/office/excel/2006/main">
          <x14:cfRule type="expression" priority="2" id="{56FD9EDF-A727-46C0-8F22-05DF082595DC}">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CO6:CQ23 CO29:CQ59 CO62:CQ62 CO60:CP61 CO64:CQ64 CO63:CP63 CO67:CQ69 CO65:CP66 CO71:CQ71 CO70:CP70 CO78:CQ93 CO72:CP74 CO77:CP77 CO75:CO76</xm:sqref>
        </x14:conditionalFormatting>
        <x14:conditionalFormatting xmlns:xm="http://schemas.microsoft.com/office/excel/2006/main">
          <x14:cfRule type="expression" priority="26" id="{405491A9-C2F9-4599-B62A-BEF025CB86CF}">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U6:W23 U29:W59 U62:W62 U60:V61 U64:W64 U63:V63 U67:W69 U65:V66 U71:W71 U70:V70 U78:W93 U72:V74 U77:V77 U75:U76</xm:sqref>
        </x14:conditionalFormatting>
        <x14:conditionalFormatting xmlns:xm="http://schemas.microsoft.com/office/excel/2006/main">
          <x14:cfRule type="expression" priority="25" id="{110E36AA-21A9-4B59-A67E-1EBC29DF5940}">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X6:Z23 X29:Z59 X62:Z62 X60:Y61 X64:Z64 X63:Y63 X67:Z69 X65:Y66 X71:Z71 X70:Y70 X78:Z93 X72:Y74 X77:Y77 X75:X76</xm:sqref>
        </x14:conditionalFormatting>
        <x14:conditionalFormatting xmlns:xm="http://schemas.microsoft.com/office/excel/2006/main">
          <x14:cfRule type="expression" priority="29" id="{B6D9CF34-825E-4B62-954C-15081B20473C}">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L6:N23 L30:N59 M29:N29 L62:N62 L60:M61 L64:N64 L63:M63 L67:N69 L65:M66 L71:N71 L70:M70 L78:N93 L72:M74 L77:M77 L75:L76</xm:sqref>
        </x14:conditionalFormatting>
        <x14:conditionalFormatting xmlns:xm="http://schemas.microsoft.com/office/excel/2006/main">
          <x14:cfRule type="iconSet" priority="834" id="{D6540145-2AE3-4CA0-A6D4-1FB91DEBA918}">
            <x14:iconSet iconSet="3Symbols" showValue="0" custom="1">
              <x14:cfvo type="percent">
                <xm:f>0</xm:f>
              </x14:cfvo>
              <x14:cfvo type="num">
                <xm:f>0</xm:f>
              </x14:cfvo>
              <x14:cfvo type="num">
                <xm:f>1</xm:f>
              </x14:cfvo>
              <x14:cfIcon iconSet="3Symbols" iconId="0"/>
              <x14:cfIcon iconSet="3Symbols" iconId="1"/>
              <x14:cfIcon iconSet="3Symbols" iconId="2"/>
            </x14:iconSet>
          </x14:cfRule>
          <xm:sqref>F29</xm:sqref>
        </x14:conditionalFormatting>
        <x14:conditionalFormatting xmlns:xm="http://schemas.microsoft.com/office/excel/2006/main">
          <x14:cfRule type="iconSet" priority="833" id="{5FC25F0C-E245-4D1E-928C-02FCD9A044F1}">
            <x14:iconSet iconSet="3Symbols" showValue="0" custom="1">
              <x14:cfvo type="percent">
                <xm:f>0</xm:f>
              </x14:cfvo>
              <x14:cfvo type="num">
                <xm:f>0</xm:f>
              </x14:cfvo>
              <x14:cfvo type="num">
                <xm:f>1</xm:f>
              </x14:cfvo>
              <x14:cfIcon iconSet="3Symbols" iconId="0"/>
              <x14:cfIcon iconSet="3Symbols" iconId="1"/>
              <x14:cfIcon iconSet="3Symbols" iconId="2"/>
            </x14:iconSet>
          </x14:cfRule>
          <xm:sqref>F37</xm:sqref>
        </x14:conditionalFormatting>
        <x14:conditionalFormatting xmlns:xm="http://schemas.microsoft.com/office/excel/2006/main">
          <x14:cfRule type="iconSet" priority="832" id="{1030EB84-B659-4E63-A2CE-D4A0DF1A6204}">
            <x14:iconSet iconSet="3Symbols" showValue="0" custom="1">
              <x14:cfvo type="percent">
                <xm:f>0</xm:f>
              </x14:cfvo>
              <x14:cfvo type="num">
                <xm:f>0</xm:f>
              </x14:cfvo>
              <x14:cfvo type="num">
                <xm:f>1</xm:f>
              </x14:cfvo>
              <x14:cfIcon iconSet="3Symbols" iconId="0"/>
              <x14:cfIcon iconSet="3Symbols" iconId="1"/>
              <x14:cfIcon iconSet="3Symbols" iconId="2"/>
            </x14:iconSet>
          </x14:cfRule>
          <xm:sqref>F44</xm:sqref>
        </x14:conditionalFormatting>
        <x14:conditionalFormatting xmlns:xm="http://schemas.microsoft.com/office/excel/2006/main">
          <x14:cfRule type="iconSet" priority="831" id="{BB7CD432-CE77-4F3B-811A-CD45E3204DF1}">
            <x14:iconSet iconSet="3Symbols" showValue="0" custom="1">
              <x14:cfvo type="percent">
                <xm:f>0</xm:f>
              </x14:cfvo>
              <x14:cfvo type="num">
                <xm:f>0</xm:f>
              </x14:cfvo>
              <x14:cfvo type="num">
                <xm:f>1</xm:f>
              </x14:cfvo>
              <x14:cfIcon iconSet="3Symbols" iconId="0"/>
              <x14:cfIcon iconSet="3Symbols" iconId="1"/>
              <x14:cfIcon iconSet="3Symbols" iconId="2"/>
            </x14:iconSet>
          </x14:cfRule>
          <xm:sqref>F49</xm:sqref>
        </x14:conditionalFormatting>
        <x14:conditionalFormatting xmlns:xm="http://schemas.microsoft.com/office/excel/2006/main">
          <x14:cfRule type="iconSet" priority="830" id="{87C2B3C7-4A6E-461C-9CA7-ADE4E83189A6}">
            <x14:iconSet iconSet="3Symbols" showValue="0" custom="1">
              <x14:cfvo type="percent">
                <xm:f>0</xm:f>
              </x14:cfvo>
              <x14:cfvo type="num">
                <xm:f>0</xm:f>
              </x14:cfvo>
              <x14:cfvo type="num">
                <xm:f>1</xm:f>
              </x14:cfvo>
              <x14:cfIcon iconSet="3Symbols" iconId="0"/>
              <x14:cfIcon iconSet="3Symbols" iconId="1"/>
              <x14:cfIcon iconSet="3Symbols" iconId="2"/>
            </x14:iconSet>
          </x14:cfRule>
          <xm:sqref>F52</xm:sqref>
        </x14:conditionalFormatting>
        <x14:conditionalFormatting xmlns:xm="http://schemas.microsoft.com/office/excel/2006/main">
          <x14:cfRule type="iconSet" priority="829" id="{C0063958-72B1-439F-952D-04F71989C004}">
            <x14:iconSet iconSet="3Symbols" showValue="0" custom="1">
              <x14:cfvo type="percent">
                <xm:f>0</xm:f>
              </x14:cfvo>
              <x14:cfvo type="num">
                <xm:f>0</xm:f>
              </x14:cfvo>
              <x14:cfvo type="num">
                <xm:f>1</xm:f>
              </x14:cfvo>
              <x14:cfIcon iconSet="3Symbols" iconId="0"/>
              <x14:cfIcon iconSet="3Symbols" iconId="1"/>
              <x14:cfIcon iconSet="3Symbols" iconId="2"/>
            </x14:iconSet>
          </x14:cfRule>
          <xm:sqref>F57</xm:sqref>
        </x14:conditionalFormatting>
        <x14:conditionalFormatting xmlns:xm="http://schemas.microsoft.com/office/excel/2006/main">
          <x14:cfRule type="iconSet" priority="828" id="{E968F6A7-2422-4463-9BE0-B00650C9E07C}">
            <x14:iconSet iconSet="3Symbols" showValue="0" custom="1">
              <x14:cfvo type="percent">
                <xm:f>0</xm:f>
              </x14:cfvo>
              <x14:cfvo type="num">
                <xm:f>0</xm:f>
              </x14:cfvo>
              <x14:cfvo type="num">
                <xm:f>1</xm:f>
              </x14:cfvo>
              <x14:cfIcon iconSet="3Symbols" iconId="0"/>
              <x14:cfIcon iconSet="3Symbols" iconId="1"/>
              <x14:cfIcon iconSet="3Symbols" iconId="2"/>
            </x14:iconSet>
          </x14:cfRule>
          <xm:sqref>F78</xm:sqref>
        </x14:conditionalFormatting>
        <x14:conditionalFormatting xmlns:xm="http://schemas.microsoft.com/office/excel/2006/main">
          <x14:cfRule type="iconSet" priority="827" id="{F78C7F59-6818-4CB9-B0B8-43F08CBFCDA3}">
            <x14:iconSet iconSet="3Symbols" showValue="0" custom="1">
              <x14:cfvo type="percent">
                <xm:f>0</xm:f>
              </x14:cfvo>
              <x14:cfvo type="num">
                <xm:f>0</xm:f>
              </x14:cfvo>
              <x14:cfvo type="num">
                <xm:f>1</xm:f>
              </x14:cfvo>
              <x14:cfIcon iconSet="3Symbols" iconId="0"/>
              <x14:cfIcon iconSet="3Symbols" iconId="1"/>
              <x14:cfIcon iconSet="3Symbols" iconId="2"/>
            </x14:iconSet>
          </x14:cfRule>
          <xm:sqref>F83</xm:sqref>
        </x14:conditionalFormatting>
        <x14:conditionalFormatting xmlns:xm="http://schemas.microsoft.com/office/excel/2006/main">
          <x14:cfRule type="iconSet" priority="826" id="{A438FE5D-6704-48D9-86E4-7A02978540D5}">
            <x14:iconSet iconSet="3Symbols" showValue="0" custom="1">
              <x14:cfvo type="percent">
                <xm:f>0</xm:f>
              </x14:cfvo>
              <x14:cfvo type="num">
                <xm:f>0</xm:f>
              </x14:cfvo>
              <x14:cfvo type="num">
                <xm:f>1</xm:f>
              </x14:cfvo>
              <x14:cfIcon iconSet="3Symbols" iconId="0"/>
              <x14:cfIcon iconSet="3Symbols" iconId="1"/>
              <x14:cfIcon iconSet="3Symbols" iconId="2"/>
            </x14:iconSet>
          </x14:cfRule>
          <xm:sqref>F88</xm:sqref>
        </x14:conditionalFormatting>
        <x14:conditionalFormatting xmlns:xm="http://schemas.microsoft.com/office/excel/2006/main">
          <x14:cfRule type="expression" priority="813" id="{B9C6A6CD-8413-435E-907D-4F676DD05547}">
            <xm:f>SUMMARY!$B$28=FALSE</xm:f>
            <x14:dxf>
              <font>
                <color theme="0"/>
              </font>
              <fill>
                <patternFill>
                  <bgColor theme="0"/>
                </patternFill>
              </fill>
              <border>
                <left/>
                <right/>
                <top/>
                <bottom/>
                <vertical/>
                <horizontal/>
              </border>
            </x14:dxf>
          </x14:cfRule>
          <xm:sqref>BQ23:BS23</xm:sqref>
        </x14:conditionalFormatting>
        <x14:conditionalFormatting xmlns:xm="http://schemas.microsoft.com/office/excel/2006/main">
          <x14:cfRule type="expression" priority="764" id="{DC0D6410-80AA-4676-BBE0-8519D808A818}">
            <xm:f>SUMMARY!$B$7=FALSE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H24:H28</xm:sqref>
        </x14:conditionalFormatting>
        <x14:conditionalFormatting xmlns:xm="http://schemas.microsoft.com/office/excel/2006/main">
          <x14:cfRule type="expression" priority="759" id="{06EC936B-34A8-48D9-8D49-E6AE35100DBD}">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K24:K28</xm:sqref>
        </x14:conditionalFormatting>
        <x14:conditionalFormatting xmlns:xm="http://schemas.microsoft.com/office/excel/2006/main">
          <x14:cfRule type="expression" priority="754" id="{7D387423-AF07-4269-A6B5-AA9C677297A9}">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N24:N28</xm:sqref>
        </x14:conditionalFormatting>
        <x14:conditionalFormatting xmlns:xm="http://schemas.microsoft.com/office/excel/2006/main">
          <x14:cfRule type="expression" priority="749" id="{F3A71D0F-A7DE-4934-8508-6011D60E713C}">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Q24:Q28</xm:sqref>
        </x14:conditionalFormatting>
        <x14:conditionalFormatting xmlns:xm="http://schemas.microsoft.com/office/excel/2006/main">
          <x14:cfRule type="expression" priority="744" id="{7C8FE24C-4DE6-44F4-A6D3-EAE074AD374C}">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T24:T28</xm:sqref>
        </x14:conditionalFormatting>
        <x14:conditionalFormatting xmlns:xm="http://schemas.microsoft.com/office/excel/2006/main">
          <x14:cfRule type="expression" priority="739" id="{2A260E0A-5E7A-4D10-A138-6F9BC11209B5}">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W24:W28</xm:sqref>
        </x14:conditionalFormatting>
        <x14:conditionalFormatting xmlns:xm="http://schemas.microsoft.com/office/excel/2006/main">
          <x14:cfRule type="expression" priority="734" id="{C4FE5889-FEBF-4F67-BB81-3368CB67B2AC}">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Z24:Z28</xm:sqref>
        </x14:conditionalFormatting>
        <x14:conditionalFormatting xmlns:xm="http://schemas.microsoft.com/office/excel/2006/main">
          <x14:cfRule type="expression" priority="729" id="{EAE1DF60-4865-4DD2-B0BA-F843A05729FD}">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AC24:AC28</xm:sqref>
        </x14:conditionalFormatting>
        <x14:conditionalFormatting xmlns:xm="http://schemas.microsoft.com/office/excel/2006/main">
          <x14:cfRule type="expression" priority="724" id="{B46F00DB-B2D4-4006-A323-E8EAEA4A88C6}">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AF24:AF28</xm:sqref>
        </x14:conditionalFormatting>
        <x14:conditionalFormatting xmlns:xm="http://schemas.microsoft.com/office/excel/2006/main">
          <x14:cfRule type="expression" priority="719" id="{E9C5A205-EAC9-4091-B545-7F8CD2C8F4F1}">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AI24:AI28</xm:sqref>
        </x14:conditionalFormatting>
        <x14:conditionalFormatting xmlns:xm="http://schemas.microsoft.com/office/excel/2006/main">
          <x14:cfRule type="expression" priority="714" id="{DAE9040D-7B2A-499D-A818-AADC4EFD5173}">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AL24:AL28</xm:sqref>
        </x14:conditionalFormatting>
        <x14:conditionalFormatting xmlns:xm="http://schemas.microsoft.com/office/excel/2006/main">
          <x14:cfRule type="expression" priority="709" id="{C0995726-9D01-4E9B-BDE6-FB37DFCAE54E}">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AO24:AO28</xm:sqref>
        </x14:conditionalFormatting>
        <x14:conditionalFormatting xmlns:xm="http://schemas.microsoft.com/office/excel/2006/main">
          <x14:cfRule type="expression" priority="704" id="{7DED4870-E95F-4CA4-92D7-A9696D04BF7C}">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AR24:AR28</xm:sqref>
        </x14:conditionalFormatting>
        <x14:conditionalFormatting xmlns:xm="http://schemas.microsoft.com/office/excel/2006/main">
          <x14:cfRule type="expression" priority="699" id="{B8B29DE3-0AC7-42AB-BF8C-D62F96DCF877}">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AU24:AU28</xm:sqref>
        </x14:conditionalFormatting>
        <x14:conditionalFormatting xmlns:xm="http://schemas.microsoft.com/office/excel/2006/main">
          <x14:cfRule type="expression" priority="694" id="{033EBA07-8A83-4F17-8898-FC8D91EB5B99}">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AX24:AX28</xm:sqref>
        </x14:conditionalFormatting>
        <x14:conditionalFormatting xmlns:xm="http://schemas.microsoft.com/office/excel/2006/main">
          <x14:cfRule type="expression" priority="689" id="{30E1B6ED-6792-4628-9602-FFEE5732EC48}">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BA24:BA28</xm:sqref>
        </x14:conditionalFormatting>
        <x14:conditionalFormatting xmlns:xm="http://schemas.microsoft.com/office/excel/2006/main">
          <x14:cfRule type="expression" priority="684" id="{C0B28A5D-E237-4A18-ABA1-BA74FA164880}">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BD24:BD28</xm:sqref>
        </x14:conditionalFormatting>
        <x14:conditionalFormatting xmlns:xm="http://schemas.microsoft.com/office/excel/2006/main">
          <x14:cfRule type="expression" priority="679" id="{3C776B2C-B769-4CC2-B1A4-82FF7C6BF471}">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BG24:BG28</xm:sqref>
        </x14:conditionalFormatting>
        <x14:conditionalFormatting xmlns:xm="http://schemas.microsoft.com/office/excel/2006/main">
          <x14:cfRule type="expression" priority="674" id="{95CA93CA-F94D-42E8-9953-BECD43445DFD}">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BJ24:BJ28</xm:sqref>
        </x14:conditionalFormatting>
        <x14:conditionalFormatting xmlns:xm="http://schemas.microsoft.com/office/excel/2006/main">
          <x14:cfRule type="expression" priority="669" id="{BED7F719-D4C0-42F5-ABFA-33C2E09A1CD3}">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BM24:BM28</xm:sqref>
        </x14:conditionalFormatting>
        <x14:conditionalFormatting xmlns:xm="http://schemas.microsoft.com/office/excel/2006/main">
          <x14:cfRule type="expression" priority="664" id="{D6AA4DBF-4106-44A0-B452-C13A26757CD6}">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BP24:BP28</xm:sqref>
        </x14:conditionalFormatting>
        <x14:conditionalFormatting xmlns:xm="http://schemas.microsoft.com/office/excel/2006/main">
          <x14:cfRule type="expression" priority="659" id="{09224027-D0DE-4EC1-8278-8D773766212B}">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BS24:BS28</xm:sqref>
        </x14:conditionalFormatting>
        <x14:conditionalFormatting xmlns:xm="http://schemas.microsoft.com/office/excel/2006/main">
          <x14:cfRule type="expression" priority="654" id="{494C15F7-0B26-41F3-A850-A9FA10132850}">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BV24:BV28</xm:sqref>
        </x14:conditionalFormatting>
        <x14:conditionalFormatting xmlns:xm="http://schemas.microsoft.com/office/excel/2006/main">
          <x14:cfRule type="expression" priority="649" id="{F5E62C70-F537-4A33-924F-52AF175B7594}">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BY24:BY28</xm:sqref>
        </x14:conditionalFormatting>
        <x14:conditionalFormatting xmlns:xm="http://schemas.microsoft.com/office/excel/2006/main">
          <x14:cfRule type="expression" priority="644" id="{C64D4D3B-3579-42BF-A2BB-FC79E7257C2D}">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CB24:CB28</xm:sqref>
        </x14:conditionalFormatting>
        <x14:conditionalFormatting xmlns:xm="http://schemas.microsoft.com/office/excel/2006/main">
          <x14:cfRule type="expression" priority="632" id="{B9E6FF82-C80A-4F0F-9093-F67E42AE5AEE}">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CE24:CE28</xm:sqref>
        </x14:conditionalFormatting>
        <x14:conditionalFormatting xmlns:xm="http://schemas.microsoft.com/office/excel/2006/main">
          <x14:cfRule type="expression" priority="630" id="{44841D6A-8FFF-4375-901D-9BC95C1BFF5F}">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CH24:CH28</xm:sqref>
        </x14:conditionalFormatting>
        <x14:conditionalFormatting xmlns:xm="http://schemas.microsoft.com/office/excel/2006/main">
          <x14:cfRule type="expression" priority="628" id="{869818C6-DBF6-4CE3-B3D5-954BE7920FCB}">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CK24:CK28</xm:sqref>
        </x14:conditionalFormatting>
        <x14:conditionalFormatting xmlns:xm="http://schemas.microsoft.com/office/excel/2006/main">
          <x14:cfRule type="expression" priority="624" id="{1CFD1E4B-7D97-4AF0-8D9D-71095AACCBC3}">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CN24:CN28</xm:sqref>
        </x14:conditionalFormatting>
        <x14:conditionalFormatting xmlns:xm="http://schemas.microsoft.com/office/excel/2006/main">
          <x14:cfRule type="expression" priority="622" id="{B9376AAC-71C0-47C8-BEE8-3EFA2B4BB911}">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CQ24:CQ28</xm:sqref>
        </x14:conditionalFormatting>
        <x14:conditionalFormatting xmlns:xm="http://schemas.microsoft.com/office/excel/2006/main">
          <x14:cfRule type="expression" priority="643" id="{F07321F7-8B1C-4CCB-8BDA-9D8BB56D3853}">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K23</xm:sqref>
        </x14:conditionalFormatting>
        <x14:conditionalFormatting xmlns:xm="http://schemas.microsoft.com/office/excel/2006/main">
          <x14:cfRule type="expression" priority="620" id="{294E12E1-4A4A-4E8E-B53E-AB6060155BE6}">
            <xm:f>SUMMARY!$B$7=FALSE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F24:G28</xm:sqref>
        </x14:conditionalFormatting>
        <x14:conditionalFormatting xmlns:xm="http://schemas.microsoft.com/office/excel/2006/main">
          <x14:cfRule type="expression" priority="618" id="{6C34682A-1A64-4AE7-A21B-0E05E7170D02}">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I24:J28</xm:sqref>
        </x14:conditionalFormatting>
        <x14:conditionalFormatting xmlns:xm="http://schemas.microsoft.com/office/excel/2006/main">
          <x14:cfRule type="expression" priority="616" id="{0A061E28-3A88-4C24-BADE-7DB4FBAD2096}">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L24:M28</xm:sqref>
        </x14:conditionalFormatting>
        <x14:conditionalFormatting xmlns:xm="http://schemas.microsoft.com/office/excel/2006/main">
          <x14:cfRule type="expression" priority="535" id="{7EF40B92-FCCE-42F4-B908-8032B683051A}">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O24:P28</xm:sqref>
        </x14:conditionalFormatting>
        <x14:conditionalFormatting xmlns:xm="http://schemas.microsoft.com/office/excel/2006/main">
          <x14:cfRule type="expression" priority="614" id="{20ECB0B5-06D5-41BE-9CD2-B6CC4C60BAD6}">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R24:S28</xm:sqref>
        </x14:conditionalFormatting>
        <x14:conditionalFormatting xmlns:xm="http://schemas.microsoft.com/office/excel/2006/main">
          <x14:cfRule type="expression" priority="612" id="{A947EBAF-9FAA-4D89-A603-89A9A9AC3F81}">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U24:V28</xm:sqref>
        </x14:conditionalFormatting>
        <x14:conditionalFormatting xmlns:xm="http://schemas.microsoft.com/office/excel/2006/main">
          <x14:cfRule type="expression" priority="610" id="{F9DF00A9-7879-48F5-8378-1FC9E5471ECA}">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X24:Y28</xm:sqref>
        </x14:conditionalFormatting>
        <x14:conditionalFormatting xmlns:xm="http://schemas.microsoft.com/office/excel/2006/main">
          <x14:cfRule type="expression" priority="608" id="{6E4271A2-7A9F-4E21-BD49-3179A9559328}">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AA24:AB28</xm:sqref>
        </x14:conditionalFormatting>
        <x14:conditionalFormatting xmlns:xm="http://schemas.microsoft.com/office/excel/2006/main">
          <x14:cfRule type="expression" priority="606" id="{5F349A30-E362-4484-93FF-574484F9D214}">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AD24:AE28</xm:sqref>
        </x14:conditionalFormatting>
        <x14:conditionalFormatting xmlns:xm="http://schemas.microsoft.com/office/excel/2006/main">
          <x14:cfRule type="expression" priority="604" id="{B772E337-43C4-4445-95DA-915A34E06438}">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AG24:AH28</xm:sqref>
        </x14:conditionalFormatting>
        <x14:conditionalFormatting xmlns:xm="http://schemas.microsoft.com/office/excel/2006/main">
          <x14:cfRule type="expression" priority="602" id="{34BBA536-A372-46C9-A7ED-C704912F5FA8}">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AJ24:AK28</xm:sqref>
        </x14:conditionalFormatting>
        <x14:conditionalFormatting xmlns:xm="http://schemas.microsoft.com/office/excel/2006/main">
          <x14:cfRule type="expression" priority="600" id="{C482FA21-7AF7-46AE-9CF0-8435EDC599AF}">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AM24:AN28</xm:sqref>
        </x14:conditionalFormatting>
        <x14:conditionalFormatting xmlns:xm="http://schemas.microsoft.com/office/excel/2006/main">
          <x14:cfRule type="expression" priority="598" id="{30866650-C61B-47FA-BFC1-83267689A60F}">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AP24:AQ28</xm:sqref>
        </x14:conditionalFormatting>
        <x14:conditionalFormatting xmlns:xm="http://schemas.microsoft.com/office/excel/2006/main">
          <x14:cfRule type="expression" priority="596" id="{EE9664F9-D0A1-49DA-8AB7-4ED0BE2D466B}">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AS24:AT28</xm:sqref>
        </x14:conditionalFormatting>
        <x14:conditionalFormatting xmlns:xm="http://schemas.microsoft.com/office/excel/2006/main">
          <x14:cfRule type="expression" priority="594" id="{3433D3AD-A333-488E-8230-28ACE7326AD8}">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AV24:AW28</xm:sqref>
        </x14:conditionalFormatting>
        <x14:conditionalFormatting xmlns:xm="http://schemas.microsoft.com/office/excel/2006/main">
          <x14:cfRule type="expression" priority="592" id="{96B21597-89BF-484B-9556-839EF72ED170}">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AY24:AZ28</xm:sqref>
        </x14:conditionalFormatting>
        <x14:conditionalFormatting xmlns:xm="http://schemas.microsoft.com/office/excel/2006/main">
          <x14:cfRule type="expression" priority="590" id="{5D5B1F8D-605E-4947-8F61-757907D360A2}">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BB24:BC28</xm:sqref>
        </x14:conditionalFormatting>
        <x14:conditionalFormatting xmlns:xm="http://schemas.microsoft.com/office/excel/2006/main">
          <x14:cfRule type="expression" priority="588" id="{583A50C8-B8BA-4E09-A07D-771877955D93}">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BE24:BF28</xm:sqref>
        </x14:conditionalFormatting>
        <x14:conditionalFormatting xmlns:xm="http://schemas.microsoft.com/office/excel/2006/main">
          <x14:cfRule type="expression" priority="586" id="{D708F8A5-6264-40DC-8840-234B6EC6E66C}">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BH24:BI28</xm:sqref>
        </x14:conditionalFormatting>
        <x14:conditionalFormatting xmlns:xm="http://schemas.microsoft.com/office/excel/2006/main">
          <x14:cfRule type="expression" priority="584" id="{DD912D60-FE59-4A68-B837-42AB14311285}">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BK24:BL28</xm:sqref>
        </x14:conditionalFormatting>
        <x14:conditionalFormatting xmlns:xm="http://schemas.microsoft.com/office/excel/2006/main">
          <x14:cfRule type="expression" priority="582" id="{97490FA6-0DE4-43AB-827E-EE50B3B96169}">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BN24:BO28</xm:sqref>
        </x14:conditionalFormatting>
        <x14:conditionalFormatting xmlns:xm="http://schemas.microsoft.com/office/excel/2006/main">
          <x14:cfRule type="expression" priority="580" id="{362BE4FA-9641-43DD-A881-3C30A0BA8A76}">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BQ24:BR28</xm:sqref>
        </x14:conditionalFormatting>
        <x14:conditionalFormatting xmlns:xm="http://schemas.microsoft.com/office/excel/2006/main">
          <x14:cfRule type="expression" priority="578" id="{16731369-71D4-477F-9816-5E6CCD6915A4}">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BT24:BU28</xm:sqref>
        </x14:conditionalFormatting>
        <x14:conditionalFormatting xmlns:xm="http://schemas.microsoft.com/office/excel/2006/main">
          <x14:cfRule type="expression" priority="576" id="{BA764415-0F53-41B4-AB41-DC327C618B03}">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BW24:BX28</xm:sqref>
        </x14:conditionalFormatting>
        <x14:conditionalFormatting xmlns:xm="http://schemas.microsoft.com/office/excel/2006/main">
          <x14:cfRule type="expression" priority="574" id="{BA0F1508-30AB-402E-9B9B-8AA073846536}">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BZ24:CA28</xm:sqref>
        </x14:conditionalFormatting>
        <x14:conditionalFormatting xmlns:xm="http://schemas.microsoft.com/office/excel/2006/main">
          <x14:cfRule type="expression" priority="542" id="{559606D0-34D8-4008-807C-6698065CB30C}">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CC24:CD28</xm:sqref>
        </x14:conditionalFormatting>
        <x14:conditionalFormatting xmlns:xm="http://schemas.microsoft.com/office/excel/2006/main">
          <x14:cfRule type="expression" priority="539" id="{1EC09D53-81A6-4075-93A3-5E5FABF0FFE2}">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CF24:CG28</xm:sqref>
        </x14:conditionalFormatting>
        <x14:conditionalFormatting xmlns:xm="http://schemas.microsoft.com/office/excel/2006/main">
          <x14:cfRule type="expression" priority="538" id="{74BE589D-B8A9-4E27-9E86-EF6A7E6FFEF4}">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CI24:CJ28</xm:sqref>
        </x14:conditionalFormatting>
        <x14:conditionalFormatting xmlns:xm="http://schemas.microsoft.com/office/excel/2006/main">
          <x14:cfRule type="expression" priority="537" id="{7674C326-4E89-478A-9D67-16B00D96A2F6}">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CL24:CM28</xm:sqref>
        </x14:conditionalFormatting>
        <x14:conditionalFormatting xmlns:xm="http://schemas.microsoft.com/office/excel/2006/main">
          <x14:cfRule type="expression" priority="536" id="{95424393-6E48-4986-B285-F6D86A48F171}">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CO24:CP28</xm:sqref>
        </x14:conditionalFormatting>
        <x14:conditionalFormatting xmlns:xm="http://schemas.microsoft.com/office/excel/2006/main">
          <x14:cfRule type="expression" priority="572" id="{74767EA2-E44E-472B-957F-E37A4F62BF42}">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L29</xm:sqref>
        </x14:conditionalFormatting>
        <x14:conditionalFormatting xmlns:xm="http://schemas.microsoft.com/office/excel/2006/main">
          <x14:cfRule type="expression" priority="529" id="{A216D1BC-1D5A-425A-868F-9D8624A9978E}">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K60:K61</xm:sqref>
        </x14:conditionalFormatting>
        <x14:conditionalFormatting xmlns:xm="http://schemas.microsoft.com/office/excel/2006/main">
          <x14:cfRule type="expression" priority="524" id="{2344AAA5-363B-48D0-9FE4-1DC57ED474C7}">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N60:N61</xm:sqref>
        </x14:conditionalFormatting>
        <x14:conditionalFormatting xmlns:xm="http://schemas.microsoft.com/office/excel/2006/main">
          <x14:cfRule type="expression" priority="519" id="{CC38F907-BC57-46E3-8A97-35406A029DAC}">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Q60:Q61</xm:sqref>
        </x14:conditionalFormatting>
        <x14:conditionalFormatting xmlns:xm="http://schemas.microsoft.com/office/excel/2006/main">
          <x14:cfRule type="expression" priority="514" id="{B1D33115-1446-486C-ABA7-8792CF367FB8}">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T60:T61</xm:sqref>
        </x14:conditionalFormatting>
        <x14:conditionalFormatting xmlns:xm="http://schemas.microsoft.com/office/excel/2006/main">
          <x14:cfRule type="expression" priority="509" id="{5A67B98C-087B-4F95-9B70-EA79ACA67707}">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W60:W61</xm:sqref>
        </x14:conditionalFormatting>
        <x14:conditionalFormatting xmlns:xm="http://schemas.microsoft.com/office/excel/2006/main">
          <x14:cfRule type="expression" priority="504" id="{914733EA-0426-44FD-9E1C-85CBE2C12D25}">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Z60:Z61</xm:sqref>
        </x14:conditionalFormatting>
        <x14:conditionalFormatting xmlns:xm="http://schemas.microsoft.com/office/excel/2006/main">
          <x14:cfRule type="expression" priority="499" id="{EF6FD16D-6190-41C5-A069-363F37052129}">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AC60:AC61</xm:sqref>
        </x14:conditionalFormatting>
        <x14:conditionalFormatting xmlns:xm="http://schemas.microsoft.com/office/excel/2006/main">
          <x14:cfRule type="expression" priority="494" id="{5D4E3FBA-B351-43FD-B73B-33C88BD05DE0}">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AF60:AF61</xm:sqref>
        </x14:conditionalFormatting>
        <x14:conditionalFormatting xmlns:xm="http://schemas.microsoft.com/office/excel/2006/main">
          <x14:cfRule type="expression" priority="489" id="{066400FF-A641-49B6-9050-BE5F46903BD0}">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AI60:AI61</xm:sqref>
        </x14:conditionalFormatting>
        <x14:conditionalFormatting xmlns:xm="http://schemas.microsoft.com/office/excel/2006/main">
          <x14:cfRule type="expression" priority="479" id="{93B0ABDE-7A9A-489A-98A9-A875DDDA98C9}">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AL60:AL61</xm:sqref>
        </x14:conditionalFormatting>
        <x14:conditionalFormatting xmlns:xm="http://schemas.microsoft.com/office/excel/2006/main">
          <x14:cfRule type="expression" priority="474" id="{14AC503F-88DB-487A-A6CA-FB85E839C296}">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AO60:AO61</xm:sqref>
        </x14:conditionalFormatting>
        <x14:conditionalFormatting xmlns:xm="http://schemas.microsoft.com/office/excel/2006/main">
          <x14:cfRule type="expression" priority="469" id="{B6503E22-FB68-4C9B-92A3-E85EC8CC4CAB}">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AR60:AR61</xm:sqref>
        </x14:conditionalFormatting>
        <x14:conditionalFormatting xmlns:xm="http://schemas.microsoft.com/office/excel/2006/main">
          <x14:cfRule type="expression" priority="464" id="{3B92027C-4FB7-484C-ADA9-5EA1A66D464F}">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AU60:AU61</xm:sqref>
        </x14:conditionalFormatting>
        <x14:conditionalFormatting xmlns:xm="http://schemas.microsoft.com/office/excel/2006/main">
          <x14:cfRule type="expression" priority="459" id="{11797FF9-0A25-4E57-8D9B-D15BB821EC60}">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AX60:AX61</xm:sqref>
        </x14:conditionalFormatting>
        <x14:conditionalFormatting xmlns:xm="http://schemas.microsoft.com/office/excel/2006/main">
          <x14:cfRule type="expression" priority="454" id="{A656C875-627D-4D0A-9C86-E509E585C295}">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BA60:BA61</xm:sqref>
        </x14:conditionalFormatting>
        <x14:conditionalFormatting xmlns:xm="http://schemas.microsoft.com/office/excel/2006/main">
          <x14:cfRule type="expression" priority="449" id="{0CE8A0E0-8BFC-44F1-B7AA-4790A4046521}">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BD60:BD61</xm:sqref>
        </x14:conditionalFormatting>
        <x14:conditionalFormatting xmlns:xm="http://schemas.microsoft.com/office/excel/2006/main">
          <x14:cfRule type="expression" priority="444" id="{B51ECC48-D7A3-4061-80A5-32E386D345FB}">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BG60:BG61</xm:sqref>
        </x14:conditionalFormatting>
        <x14:conditionalFormatting xmlns:xm="http://schemas.microsoft.com/office/excel/2006/main">
          <x14:cfRule type="expression" priority="439" id="{F8E44A32-8B73-43DF-8B2F-E6D23BF827CC}">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BJ60:BJ61</xm:sqref>
        </x14:conditionalFormatting>
        <x14:conditionalFormatting xmlns:xm="http://schemas.microsoft.com/office/excel/2006/main">
          <x14:cfRule type="expression" priority="434" id="{39CD4545-3FEC-42CC-B25B-A366750586AF}">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BM60:BM61</xm:sqref>
        </x14:conditionalFormatting>
        <x14:conditionalFormatting xmlns:xm="http://schemas.microsoft.com/office/excel/2006/main">
          <x14:cfRule type="expression" priority="429" id="{6A6EB18B-89D4-4A9B-AEA9-6614115C9C9C}">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BP60:BP61</xm:sqref>
        </x14:conditionalFormatting>
        <x14:conditionalFormatting xmlns:xm="http://schemas.microsoft.com/office/excel/2006/main">
          <x14:cfRule type="expression" priority="424" id="{CA2B96FC-F53C-4742-96C5-164CC985476A}">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BS60:BS61</xm:sqref>
        </x14:conditionalFormatting>
        <x14:conditionalFormatting xmlns:xm="http://schemas.microsoft.com/office/excel/2006/main">
          <x14:cfRule type="expression" priority="419" id="{D5136C0B-4EAE-44DE-A472-94DA8EAC780E}">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BV60:BV61</xm:sqref>
        </x14:conditionalFormatting>
        <x14:conditionalFormatting xmlns:xm="http://schemas.microsoft.com/office/excel/2006/main">
          <x14:cfRule type="expression" priority="414" id="{067E9E58-7D6E-4309-983D-C26C97B1BC6F}">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BY60:BY61</xm:sqref>
        </x14:conditionalFormatting>
        <x14:conditionalFormatting xmlns:xm="http://schemas.microsoft.com/office/excel/2006/main">
          <x14:cfRule type="expression" priority="409" id="{887A5AE4-8842-4527-8CEA-A03BE84CB90C}">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CB60:CB61</xm:sqref>
        </x14:conditionalFormatting>
        <x14:conditionalFormatting xmlns:xm="http://schemas.microsoft.com/office/excel/2006/main">
          <x14:cfRule type="expression" priority="404" id="{C01E72B9-D22F-4ABA-8F50-DBC362D05E21}">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CE60:CE61</xm:sqref>
        </x14:conditionalFormatting>
        <x14:conditionalFormatting xmlns:xm="http://schemas.microsoft.com/office/excel/2006/main">
          <x14:cfRule type="expression" priority="399" id="{206FE64C-1FB8-4BC6-8407-BB8E450368FC}">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CH60:CH61</xm:sqref>
        </x14:conditionalFormatting>
        <x14:conditionalFormatting xmlns:xm="http://schemas.microsoft.com/office/excel/2006/main">
          <x14:cfRule type="expression" priority="394" id="{DCA5D9CE-AFE0-4848-99C1-359B840975BD}">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CK60:CK61</xm:sqref>
        </x14:conditionalFormatting>
        <x14:conditionalFormatting xmlns:xm="http://schemas.microsoft.com/office/excel/2006/main">
          <x14:cfRule type="expression" priority="389" id="{E77EBCF9-DAC3-4F97-A5B3-A25BB79BD7A2}">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CN60:CN61</xm:sqref>
        </x14:conditionalFormatting>
        <x14:conditionalFormatting xmlns:xm="http://schemas.microsoft.com/office/excel/2006/main">
          <x14:cfRule type="expression" priority="384" id="{7B468C5D-B439-43DE-96A8-3FAB9706A301}">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CQ60:CQ61</xm:sqref>
        </x14:conditionalFormatting>
        <x14:conditionalFormatting xmlns:xm="http://schemas.microsoft.com/office/excel/2006/main">
          <x14:cfRule type="expression" priority="381" id="{FBFF614A-AF98-468F-8064-9E08483BCF13}">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K63</xm:sqref>
        </x14:conditionalFormatting>
        <x14:conditionalFormatting xmlns:xm="http://schemas.microsoft.com/office/excel/2006/main">
          <x14:cfRule type="expression" priority="378" id="{969E12D7-461B-4B5F-B3B2-5A28562E20F0}">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N63</xm:sqref>
        </x14:conditionalFormatting>
        <x14:conditionalFormatting xmlns:xm="http://schemas.microsoft.com/office/excel/2006/main">
          <x14:cfRule type="expression" priority="375" id="{7EC90047-6C74-4C6D-9AF1-FC3DD66ACC40}">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Q63</xm:sqref>
        </x14:conditionalFormatting>
        <x14:conditionalFormatting xmlns:xm="http://schemas.microsoft.com/office/excel/2006/main">
          <x14:cfRule type="expression" priority="372" id="{60E7ECB1-5265-431A-B7A8-07FEDF112FE6}">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T63</xm:sqref>
        </x14:conditionalFormatting>
        <x14:conditionalFormatting xmlns:xm="http://schemas.microsoft.com/office/excel/2006/main">
          <x14:cfRule type="expression" priority="369" id="{51F19592-DA19-4764-B3D5-8B588759D5A3}">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W63</xm:sqref>
        </x14:conditionalFormatting>
        <x14:conditionalFormatting xmlns:xm="http://schemas.microsoft.com/office/excel/2006/main">
          <x14:cfRule type="expression" priority="366" id="{1693BDD6-1A9F-4A21-BA0C-E71B3081B464}">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Z63</xm:sqref>
        </x14:conditionalFormatting>
        <x14:conditionalFormatting xmlns:xm="http://schemas.microsoft.com/office/excel/2006/main">
          <x14:cfRule type="expression" priority="363" id="{2E426D25-5124-44C7-9E1C-051A5B94EEA7}">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AC63</xm:sqref>
        </x14:conditionalFormatting>
        <x14:conditionalFormatting xmlns:xm="http://schemas.microsoft.com/office/excel/2006/main">
          <x14:cfRule type="expression" priority="360" id="{B75187EA-335F-4A62-8596-53B910DE1F51}">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AF63</xm:sqref>
        </x14:conditionalFormatting>
        <x14:conditionalFormatting xmlns:xm="http://schemas.microsoft.com/office/excel/2006/main">
          <x14:cfRule type="expression" priority="357" id="{1D122419-3B67-4323-ABC4-DEA12925E9E7}">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AI63</xm:sqref>
        </x14:conditionalFormatting>
        <x14:conditionalFormatting xmlns:xm="http://schemas.microsoft.com/office/excel/2006/main">
          <x14:cfRule type="expression" priority="354" id="{BD030A14-B857-4D7A-8558-319AAD76442E}">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AL63</xm:sqref>
        </x14:conditionalFormatting>
        <x14:conditionalFormatting xmlns:xm="http://schemas.microsoft.com/office/excel/2006/main">
          <x14:cfRule type="expression" priority="351" id="{DAB49AFB-33C3-4AA3-ABC7-F41F8A7BE890}">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AO63</xm:sqref>
        </x14:conditionalFormatting>
        <x14:conditionalFormatting xmlns:xm="http://schemas.microsoft.com/office/excel/2006/main">
          <x14:cfRule type="expression" priority="348" id="{86E0335B-8527-43EA-B4D3-158DA2640F60}">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AR63</xm:sqref>
        </x14:conditionalFormatting>
        <x14:conditionalFormatting xmlns:xm="http://schemas.microsoft.com/office/excel/2006/main">
          <x14:cfRule type="expression" priority="345" id="{156CAB34-6F51-419C-9874-1702198755D8}">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AU63</xm:sqref>
        </x14:conditionalFormatting>
        <x14:conditionalFormatting xmlns:xm="http://schemas.microsoft.com/office/excel/2006/main">
          <x14:cfRule type="expression" priority="342" id="{84EC11A8-9CB7-4383-A26E-F641A2DA3364}">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AX63</xm:sqref>
        </x14:conditionalFormatting>
        <x14:conditionalFormatting xmlns:xm="http://schemas.microsoft.com/office/excel/2006/main">
          <x14:cfRule type="expression" priority="339" id="{7258A015-6F24-4680-874C-D5F80B6B9E45}">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BA63</xm:sqref>
        </x14:conditionalFormatting>
        <x14:conditionalFormatting xmlns:xm="http://schemas.microsoft.com/office/excel/2006/main">
          <x14:cfRule type="expression" priority="336" id="{BF0BDAFE-7D93-4894-9DFA-B05D369BBA9D}">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BD63</xm:sqref>
        </x14:conditionalFormatting>
        <x14:conditionalFormatting xmlns:xm="http://schemas.microsoft.com/office/excel/2006/main">
          <x14:cfRule type="expression" priority="333" id="{E7EDBF93-A802-46E2-B8E8-F4226CA82FFF}">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BG63</xm:sqref>
        </x14:conditionalFormatting>
        <x14:conditionalFormatting xmlns:xm="http://schemas.microsoft.com/office/excel/2006/main">
          <x14:cfRule type="expression" priority="330" id="{D0C69023-09EC-42BF-BE09-BF6AFEE2C113}">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BJ63</xm:sqref>
        </x14:conditionalFormatting>
        <x14:conditionalFormatting xmlns:xm="http://schemas.microsoft.com/office/excel/2006/main">
          <x14:cfRule type="expression" priority="327" id="{05BD246A-4A73-4B5C-958E-AB30624A4130}">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BM63</xm:sqref>
        </x14:conditionalFormatting>
        <x14:conditionalFormatting xmlns:xm="http://schemas.microsoft.com/office/excel/2006/main">
          <x14:cfRule type="expression" priority="324" id="{16092169-90CF-4921-8E6E-D8FBBD216F85}">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BP63</xm:sqref>
        </x14:conditionalFormatting>
        <x14:conditionalFormatting xmlns:xm="http://schemas.microsoft.com/office/excel/2006/main">
          <x14:cfRule type="expression" priority="321" id="{114AFE42-C296-4767-BAA3-4FCB01F7B10E}">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BS63</xm:sqref>
        </x14:conditionalFormatting>
        <x14:conditionalFormatting xmlns:xm="http://schemas.microsoft.com/office/excel/2006/main">
          <x14:cfRule type="expression" priority="318" id="{A1D36F5E-53C7-4598-A912-2C172D61F7B7}">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BV63</xm:sqref>
        </x14:conditionalFormatting>
        <x14:conditionalFormatting xmlns:xm="http://schemas.microsoft.com/office/excel/2006/main">
          <x14:cfRule type="expression" priority="315" id="{2B7781C4-5741-4AFC-9182-E18E35F202E7}">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BY63</xm:sqref>
        </x14:conditionalFormatting>
        <x14:conditionalFormatting xmlns:xm="http://schemas.microsoft.com/office/excel/2006/main">
          <x14:cfRule type="expression" priority="312" id="{26B37D5A-E012-4CDC-B608-532BEFBBD5F3}">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CB63</xm:sqref>
        </x14:conditionalFormatting>
        <x14:conditionalFormatting xmlns:xm="http://schemas.microsoft.com/office/excel/2006/main">
          <x14:cfRule type="expression" priority="309" id="{29D6BB22-042C-4D3E-9DE9-AE58798B00C6}">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CE63</xm:sqref>
        </x14:conditionalFormatting>
        <x14:conditionalFormatting xmlns:xm="http://schemas.microsoft.com/office/excel/2006/main">
          <x14:cfRule type="expression" priority="306" id="{E81FCCC0-4F60-400D-86F1-EB807DB4E095}">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CH63</xm:sqref>
        </x14:conditionalFormatting>
        <x14:conditionalFormatting xmlns:xm="http://schemas.microsoft.com/office/excel/2006/main">
          <x14:cfRule type="expression" priority="303" id="{3F1AB54D-DB66-4A65-A847-B4458D121104}">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CK63</xm:sqref>
        </x14:conditionalFormatting>
        <x14:conditionalFormatting xmlns:xm="http://schemas.microsoft.com/office/excel/2006/main">
          <x14:cfRule type="expression" priority="300" id="{6003D00A-983D-4D55-AD1C-54EEAFB0C0AA}">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CN63</xm:sqref>
        </x14:conditionalFormatting>
        <x14:conditionalFormatting xmlns:xm="http://schemas.microsoft.com/office/excel/2006/main">
          <x14:cfRule type="expression" priority="297" id="{7004ABE2-6E1D-4949-A106-60F577A59E20}">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CQ63</xm:sqref>
        </x14:conditionalFormatting>
        <x14:conditionalFormatting xmlns:xm="http://schemas.microsoft.com/office/excel/2006/main">
          <x14:cfRule type="expression" priority="294" id="{19FDB4C7-70F8-4409-8A69-A513CFFBAC05}">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K65:K66</xm:sqref>
        </x14:conditionalFormatting>
        <x14:conditionalFormatting xmlns:xm="http://schemas.microsoft.com/office/excel/2006/main">
          <x14:cfRule type="expression" priority="291" id="{1315CF0E-F8B7-437F-88A9-084DE3C3EC03}">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N65:N66</xm:sqref>
        </x14:conditionalFormatting>
        <x14:conditionalFormatting xmlns:xm="http://schemas.microsoft.com/office/excel/2006/main">
          <x14:cfRule type="expression" priority="288" id="{BD7A5116-1D56-484F-AB98-B3E21090D7B9}">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Q65:Q66</xm:sqref>
        </x14:conditionalFormatting>
        <x14:conditionalFormatting xmlns:xm="http://schemas.microsoft.com/office/excel/2006/main">
          <x14:cfRule type="expression" priority="285" id="{B0AE97A8-38D1-4AC1-B76B-495AC4DF5D57}">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T65:T66</xm:sqref>
        </x14:conditionalFormatting>
        <x14:conditionalFormatting xmlns:xm="http://schemas.microsoft.com/office/excel/2006/main">
          <x14:cfRule type="expression" priority="282" id="{BA2D7C07-3505-42A4-A537-D660484076F7}">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W65:W66</xm:sqref>
        </x14:conditionalFormatting>
        <x14:conditionalFormatting xmlns:xm="http://schemas.microsoft.com/office/excel/2006/main">
          <x14:cfRule type="expression" priority="279" id="{9AFDD8BE-F7BF-4935-8743-62A07ECE07DB}">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Z65:Z66</xm:sqref>
        </x14:conditionalFormatting>
        <x14:conditionalFormatting xmlns:xm="http://schemas.microsoft.com/office/excel/2006/main">
          <x14:cfRule type="expression" priority="276" id="{05283E1F-7091-425E-A057-EEAC49278AF5}">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AC65:AC66</xm:sqref>
        </x14:conditionalFormatting>
        <x14:conditionalFormatting xmlns:xm="http://schemas.microsoft.com/office/excel/2006/main">
          <x14:cfRule type="expression" priority="273" id="{E979B079-7BDE-47AF-B653-7D337C6A75AC}">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AF65:AF66</xm:sqref>
        </x14:conditionalFormatting>
        <x14:conditionalFormatting xmlns:xm="http://schemas.microsoft.com/office/excel/2006/main">
          <x14:cfRule type="expression" priority="270" id="{A403ADC5-5D74-4415-8EAE-EEDF743493A1}">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AI65:AI66</xm:sqref>
        </x14:conditionalFormatting>
        <x14:conditionalFormatting xmlns:xm="http://schemas.microsoft.com/office/excel/2006/main">
          <x14:cfRule type="expression" priority="267" id="{82AC9BED-EC5F-45C2-BE74-0574400EF2A2}">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AL65:AL66</xm:sqref>
        </x14:conditionalFormatting>
        <x14:conditionalFormatting xmlns:xm="http://schemas.microsoft.com/office/excel/2006/main">
          <x14:cfRule type="expression" priority="264" id="{C488FFE7-40C8-4966-B442-9F93855B1E42}">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AO65:AO66</xm:sqref>
        </x14:conditionalFormatting>
        <x14:conditionalFormatting xmlns:xm="http://schemas.microsoft.com/office/excel/2006/main">
          <x14:cfRule type="expression" priority="261" id="{2DE74274-9F81-4CC2-9466-3497161EA8D1}">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AR65:AR66</xm:sqref>
        </x14:conditionalFormatting>
        <x14:conditionalFormatting xmlns:xm="http://schemas.microsoft.com/office/excel/2006/main">
          <x14:cfRule type="expression" priority="258" id="{4A4CA4C5-CDB6-4204-B74F-FAE27E7DACC8}">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AU65:AU66</xm:sqref>
        </x14:conditionalFormatting>
        <x14:conditionalFormatting xmlns:xm="http://schemas.microsoft.com/office/excel/2006/main">
          <x14:cfRule type="expression" priority="255" id="{A53D83F9-318F-446A-8C18-EB3C2606EEBC}">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AX65:AX66</xm:sqref>
        </x14:conditionalFormatting>
        <x14:conditionalFormatting xmlns:xm="http://schemas.microsoft.com/office/excel/2006/main">
          <x14:cfRule type="expression" priority="252" id="{AA58D92D-FEE6-4A86-9E05-13C6404D3195}">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BA65:BA66</xm:sqref>
        </x14:conditionalFormatting>
        <x14:conditionalFormatting xmlns:xm="http://schemas.microsoft.com/office/excel/2006/main">
          <x14:cfRule type="expression" priority="249" id="{A1EC5082-1F52-41E6-8064-8C2D593AE5D2}">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BD65:BD66</xm:sqref>
        </x14:conditionalFormatting>
        <x14:conditionalFormatting xmlns:xm="http://schemas.microsoft.com/office/excel/2006/main">
          <x14:cfRule type="expression" priority="246" id="{F9F4AB41-7FBB-4D3A-A02F-8FC84A3F7304}">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BG65:BG66</xm:sqref>
        </x14:conditionalFormatting>
        <x14:conditionalFormatting xmlns:xm="http://schemas.microsoft.com/office/excel/2006/main">
          <x14:cfRule type="expression" priority="243" id="{2E6D63CC-803F-439B-8DF2-728D46E6F5D2}">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BJ65:BJ66</xm:sqref>
        </x14:conditionalFormatting>
        <x14:conditionalFormatting xmlns:xm="http://schemas.microsoft.com/office/excel/2006/main">
          <x14:cfRule type="expression" priority="240" id="{C4993AAC-97AC-4E83-A30F-58BB02701A86}">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BM65:BM66</xm:sqref>
        </x14:conditionalFormatting>
        <x14:conditionalFormatting xmlns:xm="http://schemas.microsoft.com/office/excel/2006/main">
          <x14:cfRule type="expression" priority="237" id="{660A4EDF-1917-4E95-A9D0-8E28E359F503}">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BP65:BP66</xm:sqref>
        </x14:conditionalFormatting>
        <x14:conditionalFormatting xmlns:xm="http://schemas.microsoft.com/office/excel/2006/main">
          <x14:cfRule type="expression" priority="234" id="{27B7BCF6-AA5C-4996-8079-43E2270A59F2}">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BS65:BS66</xm:sqref>
        </x14:conditionalFormatting>
        <x14:conditionalFormatting xmlns:xm="http://schemas.microsoft.com/office/excel/2006/main">
          <x14:cfRule type="expression" priority="231" id="{DB597B95-6320-45DC-96BD-F528EEBDF11E}">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BV65:BV66</xm:sqref>
        </x14:conditionalFormatting>
        <x14:conditionalFormatting xmlns:xm="http://schemas.microsoft.com/office/excel/2006/main">
          <x14:cfRule type="expression" priority="228" id="{72B3E007-FD2F-4AF6-A49D-B2B9D4BBDBDD}">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BY65:BY66</xm:sqref>
        </x14:conditionalFormatting>
        <x14:conditionalFormatting xmlns:xm="http://schemas.microsoft.com/office/excel/2006/main">
          <x14:cfRule type="expression" priority="225" id="{FF5FDC0A-E85B-43F9-891C-5A4D31A762AC}">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CB65:CB66</xm:sqref>
        </x14:conditionalFormatting>
        <x14:conditionalFormatting xmlns:xm="http://schemas.microsoft.com/office/excel/2006/main">
          <x14:cfRule type="expression" priority="222" id="{14266B2C-705F-4F83-9CA3-1D48CB571B3D}">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CE65:CE66</xm:sqref>
        </x14:conditionalFormatting>
        <x14:conditionalFormatting xmlns:xm="http://schemas.microsoft.com/office/excel/2006/main">
          <x14:cfRule type="expression" priority="219" id="{80A7A53D-020E-4B1E-8A71-770A03812FD3}">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CH65:CH66</xm:sqref>
        </x14:conditionalFormatting>
        <x14:conditionalFormatting xmlns:xm="http://schemas.microsoft.com/office/excel/2006/main">
          <x14:cfRule type="expression" priority="216" id="{7B5B2114-4CBE-429B-B2D9-78BA13D9A5C9}">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CK65:CK66</xm:sqref>
        </x14:conditionalFormatting>
        <x14:conditionalFormatting xmlns:xm="http://schemas.microsoft.com/office/excel/2006/main">
          <x14:cfRule type="expression" priority="213" id="{70646FE7-77F3-49CA-B9B8-927AF75A757D}">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CN65:CN66</xm:sqref>
        </x14:conditionalFormatting>
        <x14:conditionalFormatting xmlns:xm="http://schemas.microsoft.com/office/excel/2006/main">
          <x14:cfRule type="expression" priority="210" id="{72FE7D11-84CC-4630-BC69-B5078542E9BE}">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CQ65:CQ66</xm:sqref>
        </x14:conditionalFormatting>
        <x14:conditionalFormatting xmlns:xm="http://schemas.microsoft.com/office/excel/2006/main">
          <x14:cfRule type="expression" priority="207" id="{A923D662-1195-4EB6-B15D-C9995A225143}">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K70</xm:sqref>
        </x14:conditionalFormatting>
        <x14:conditionalFormatting xmlns:xm="http://schemas.microsoft.com/office/excel/2006/main">
          <x14:cfRule type="expression" priority="204" id="{14912E96-B299-429B-BE8A-45BDDB4CBBEE}">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N70</xm:sqref>
        </x14:conditionalFormatting>
        <x14:conditionalFormatting xmlns:xm="http://schemas.microsoft.com/office/excel/2006/main">
          <x14:cfRule type="expression" priority="201" id="{F60F3DAA-E0F1-4FAC-BBE0-29D458653CC2}">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Q70</xm:sqref>
        </x14:conditionalFormatting>
        <x14:conditionalFormatting xmlns:xm="http://schemas.microsoft.com/office/excel/2006/main">
          <x14:cfRule type="expression" priority="198" id="{817DC720-9D26-4430-A585-CFB2326218A0}">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T70</xm:sqref>
        </x14:conditionalFormatting>
        <x14:conditionalFormatting xmlns:xm="http://schemas.microsoft.com/office/excel/2006/main">
          <x14:cfRule type="expression" priority="195" id="{1C009927-1D8F-4B56-897D-65C554DC764B}">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W70</xm:sqref>
        </x14:conditionalFormatting>
        <x14:conditionalFormatting xmlns:xm="http://schemas.microsoft.com/office/excel/2006/main">
          <x14:cfRule type="expression" priority="192" id="{4FB999E8-1B28-46C8-BBD2-FC4C65D4EE4A}">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Z70</xm:sqref>
        </x14:conditionalFormatting>
        <x14:conditionalFormatting xmlns:xm="http://schemas.microsoft.com/office/excel/2006/main">
          <x14:cfRule type="expression" priority="189" id="{236C94E4-D9DB-497C-9B4B-24C8E2CC56A3}">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AC70</xm:sqref>
        </x14:conditionalFormatting>
        <x14:conditionalFormatting xmlns:xm="http://schemas.microsoft.com/office/excel/2006/main">
          <x14:cfRule type="expression" priority="186" id="{C00821C8-9F37-4483-AB58-73152B1401AF}">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AF70</xm:sqref>
        </x14:conditionalFormatting>
        <x14:conditionalFormatting xmlns:xm="http://schemas.microsoft.com/office/excel/2006/main">
          <x14:cfRule type="expression" priority="183" id="{6EE3D6C4-C269-444C-ABDC-DB1C33B7BF70}">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AI70</xm:sqref>
        </x14:conditionalFormatting>
        <x14:conditionalFormatting xmlns:xm="http://schemas.microsoft.com/office/excel/2006/main">
          <x14:cfRule type="expression" priority="180" id="{09B060C7-A6FB-4BAF-A982-451DC53E8896}">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AL70</xm:sqref>
        </x14:conditionalFormatting>
        <x14:conditionalFormatting xmlns:xm="http://schemas.microsoft.com/office/excel/2006/main">
          <x14:cfRule type="expression" priority="177" id="{0B0D433B-D2C7-4BE9-95C9-E38B53A4B293}">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AO70</xm:sqref>
        </x14:conditionalFormatting>
        <x14:conditionalFormatting xmlns:xm="http://schemas.microsoft.com/office/excel/2006/main">
          <x14:cfRule type="expression" priority="174" id="{3356E8D6-BD5D-4F99-AA2F-62B9795BF073}">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AR70</xm:sqref>
        </x14:conditionalFormatting>
        <x14:conditionalFormatting xmlns:xm="http://schemas.microsoft.com/office/excel/2006/main">
          <x14:cfRule type="expression" priority="171" id="{273BBACB-4D0E-43BE-A16B-A70FFB90C78A}">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AU70</xm:sqref>
        </x14:conditionalFormatting>
        <x14:conditionalFormatting xmlns:xm="http://schemas.microsoft.com/office/excel/2006/main">
          <x14:cfRule type="expression" priority="168" id="{FC35B859-8EFE-44BF-9E44-F142EBA70EE7}">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AX70</xm:sqref>
        </x14:conditionalFormatting>
        <x14:conditionalFormatting xmlns:xm="http://schemas.microsoft.com/office/excel/2006/main">
          <x14:cfRule type="expression" priority="165" id="{F0AF35AF-2B88-4976-8A61-9F3997461B00}">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BA70</xm:sqref>
        </x14:conditionalFormatting>
        <x14:conditionalFormatting xmlns:xm="http://schemas.microsoft.com/office/excel/2006/main">
          <x14:cfRule type="expression" priority="162" id="{1D223523-7E4E-4ED6-8FAA-7100D0FD59F3}">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BD70</xm:sqref>
        </x14:conditionalFormatting>
        <x14:conditionalFormatting xmlns:xm="http://schemas.microsoft.com/office/excel/2006/main">
          <x14:cfRule type="expression" priority="159" id="{97D9DB4A-53F9-471F-8E8A-1C2B3C725670}">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BG70</xm:sqref>
        </x14:conditionalFormatting>
        <x14:conditionalFormatting xmlns:xm="http://schemas.microsoft.com/office/excel/2006/main">
          <x14:cfRule type="expression" priority="156" id="{CC36A635-ED52-4724-BEE3-9FA19587420B}">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BJ70</xm:sqref>
        </x14:conditionalFormatting>
        <x14:conditionalFormatting xmlns:xm="http://schemas.microsoft.com/office/excel/2006/main">
          <x14:cfRule type="expression" priority="153" id="{17FCBB61-D819-43B3-A864-195363E8B7FB}">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BM70</xm:sqref>
        </x14:conditionalFormatting>
        <x14:conditionalFormatting xmlns:xm="http://schemas.microsoft.com/office/excel/2006/main">
          <x14:cfRule type="expression" priority="150" id="{C64A4DA1-ABC3-4880-A8D2-77700151E2D2}">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BP70</xm:sqref>
        </x14:conditionalFormatting>
        <x14:conditionalFormatting xmlns:xm="http://schemas.microsoft.com/office/excel/2006/main">
          <x14:cfRule type="expression" priority="147" id="{7DEF80E7-C460-4871-8978-5949495C6EF7}">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BS70</xm:sqref>
        </x14:conditionalFormatting>
        <x14:conditionalFormatting xmlns:xm="http://schemas.microsoft.com/office/excel/2006/main">
          <x14:cfRule type="expression" priority="144" id="{8F9855CE-7335-40E5-834F-D16A878E7262}">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BV70</xm:sqref>
        </x14:conditionalFormatting>
        <x14:conditionalFormatting xmlns:xm="http://schemas.microsoft.com/office/excel/2006/main">
          <x14:cfRule type="expression" priority="141" id="{E6E5F537-DCF7-4BE8-9AF7-CA51492AB0E0}">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BY70</xm:sqref>
        </x14:conditionalFormatting>
        <x14:conditionalFormatting xmlns:xm="http://schemas.microsoft.com/office/excel/2006/main">
          <x14:cfRule type="expression" priority="138" id="{9C54AADD-CC67-47B4-B952-080492AF8657}">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CB70</xm:sqref>
        </x14:conditionalFormatting>
        <x14:conditionalFormatting xmlns:xm="http://schemas.microsoft.com/office/excel/2006/main">
          <x14:cfRule type="expression" priority="135" id="{319959BE-3207-4055-BBE3-B2B0B26859DF}">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CE70</xm:sqref>
        </x14:conditionalFormatting>
        <x14:conditionalFormatting xmlns:xm="http://schemas.microsoft.com/office/excel/2006/main">
          <x14:cfRule type="expression" priority="132" id="{81EBCB77-7D74-4994-BF96-87227854B0AC}">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CH70</xm:sqref>
        </x14:conditionalFormatting>
        <x14:conditionalFormatting xmlns:xm="http://schemas.microsoft.com/office/excel/2006/main">
          <x14:cfRule type="expression" priority="129" id="{2295CFCE-33CE-45D6-9B39-F2D156940FF0}">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CK70</xm:sqref>
        </x14:conditionalFormatting>
        <x14:conditionalFormatting xmlns:xm="http://schemas.microsoft.com/office/excel/2006/main">
          <x14:cfRule type="expression" priority="126" id="{35C254ED-2AD0-4357-8E63-D5E1FCCC88E0}">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CN70</xm:sqref>
        </x14:conditionalFormatting>
        <x14:conditionalFormatting xmlns:xm="http://schemas.microsoft.com/office/excel/2006/main">
          <x14:cfRule type="expression" priority="123" id="{17D32081-FC2B-497A-B9DF-976554AEBDA1}">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CQ70</xm:sqref>
        </x14:conditionalFormatting>
        <x14:conditionalFormatting xmlns:xm="http://schemas.microsoft.com/office/excel/2006/main">
          <x14:cfRule type="expression" priority="120" id="{3737952D-4A1B-422F-9A60-6FF574FE8449}">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K72:K74 K77</xm:sqref>
        </x14:conditionalFormatting>
        <x14:conditionalFormatting xmlns:xm="http://schemas.microsoft.com/office/excel/2006/main">
          <x14:cfRule type="expression" priority="117" id="{E8705BDD-3F1E-46E5-A273-E862B1943D9C}">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N72:N74 N77</xm:sqref>
        </x14:conditionalFormatting>
        <x14:conditionalFormatting xmlns:xm="http://schemas.microsoft.com/office/excel/2006/main">
          <x14:cfRule type="expression" priority="114" id="{AC7874A4-B09B-4571-A425-4A41E87B5C3C}">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Q72:Q74 Q77</xm:sqref>
        </x14:conditionalFormatting>
        <x14:conditionalFormatting xmlns:xm="http://schemas.microsoft.com/office/excel/2006/main">
          <x14:cfRule type="expression" priority="111" id="{D2D0C53F-A7D2-4DD2-9E0D-2079484D03D6}">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T72:T74 T77</xm:sqref>
        </x14:conditionalFormatting>
        <x14:conditionalFormatting xmlns:xm="http://schemas.microsoft.com/office/excel/2006/main">
          <x14:cfRule type="expression" priority="108" id="{021B5638-9F43-40EF-A589-92E99022BFBA}">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W72:W74 W77</xm:sqref>
        </x14:conditionalFormatting>
        <x14:conditionalFormatting xmlns:xm="http://schemas.microsoft.com/office/excel/2006/main">
          <x14:cfRule type="expression" priority="105" id="{80A070F4-537C-400E-8F59-3FC7759E0191}">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Z72:Z74 Z77</xm:sqref>
        </x14:conditionalFormatting>
        <x14:conditionalFormatting xmlns:xm="http://schemas.microsoft.com/office/excel/2006/main">
          <x14:cfRule type="expression" priority="102" id="{3204DA95-E730-4860-A0A7-5AC95D76398B}">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AC72:AC74 AC77</xm:sqref>
        </x14:conditionalFormatting>
        <x14:conditionalFormatting xmlns:xm="http://schemas.microsoft.com/office/excel/2006/main">
          <x14:cfRule type="expression" priority="99" id="{592C8254-CCF9-44DE-AB85-E6C1EF64D483}">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AF72:AF74 AF77</xm:sqref>
        </x14:conditionalFormatting>
        <x14:conditionalFormatting xmlns:xm="http://schemas.microsoft.com/office/excel/2006/main">
          <x14:cfRule type="expression" priority="96" id="{507C8403-1909-44C3-B817-5ABBC61ECBA9}">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AI72:AI74 AI77</xm:sqref>
        </x14:conditionalFormatting>
        <x14:conditionalFormatting xmlns:xm="http://schemas.microsoft.com/office/excel/2006/main">
          <x14:cfRule type="expression" priority="93" id="{41D8A890-9C2D-4649-AA1E-F811FF401B07}">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AL72:AL74 AL77</xm:sqref>
        </x14:conditionalFormatting>
        <x14:conditionalFormatting xmlns:xm="http://schemas.microsoft.com/office/excel/2006/main">
          <x14:cfRule type="expression" priority="90" id="{80BD4444-5744-4BF4-AC60-1064E98F75F4}">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AO72:AO74 AO77</xm:sqref>
        </x14:conditionalFormatting>
        <x14:conditionalFormatting xmlns:xm="http://schemas.microsoft.com/office/excel/2006/main">
          <x14:cfRule type="expression" priority="87" id="{C8DA6AE8-CB47-4F21-A06D-39D7319BD557}">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AR72:AR74 AR77</xm:sqref>
        </x14:conditionalFormatting>
        <x14:conditionalFormatting xmlns:xm="http://schemas.microsoft.com/office/excel/2006/main">
          <x14:cfRule type="expression" priority="84" id="{768194A9-BC98-4743-8E74-902845C0AD97}">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AU72:AU74 AU77</xm:sqref>
        </x14:conditionalFormatting>
        <x14:conditionalFormatting xmlns:xm="http://schemas.microsoft.com/office/excel/2006/main">
          <x14:cfRule type="expression" priority="81" id="{847DF934-B86A-43EC-ABA9-330D18432A09}">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AX72:AX74 AX77</xm:sqref>
        </x14:conditionalFormatting>
        <x14:conditionalFormatting xmlns:xm="http://schemas.microsoft.com/office/excel/2006/main">
          <x14:cfRule type="expression" priority="78" id="{E70A93D3-D62D-4FBE-BB9A-4F503114E960}">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BA72:BA74 BA77</xm:sqref>
        </x14:conditionalFormatting>
        <x14:conditionalFormatting xmlns:xm="http://schemas.microsoft.com/office/excel/2006/main">
          <x14:cfRule type="expression" priority="75" id="{5F16AD55-9A19-4E5E-B586-4EC044E5ABE5}">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BD72:BD74 BD77</xm:sqref>
        </x14:conditionalFormatting>
        <x14:conditionalFormatting xmlns:xm="http://schemas.microsoft.com/office/excel/2006/main">
          <x14:cfRule type="expression" priority="72" id="{83C6E746-A94E-4F8E-8D1C-D039B2D8DCBB}">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BG72:BG74 BG77</xm:sqref>
        </x14:conditionalFormatting>
        <x14:conditionalFormatting xmlns:xm="http://schemas.microsoft.com/office/excel/2006/main">
          <x14:cfRule type="expression" priority="69" id="{0203BB03-BE37-4D2C-9834-22F2494EEAE2}">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BJ72:BJ74 BJ77</xm:sqref>
        </x14:conditionalFormatting>
        <x14:conditionalFormatting xmlns:xm="http://schemas.microsoft.com/office/excel/2006/main">
          <x14:cfRule type="expression" priority="66" id="{C689E475-20B8-4FEA-9CCB-04D3797036BE}">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BM72:BM74 BM77</xm:sqref>
        </x14:conditionalFormatting>
        <x14:conditionalFormatting xmlns:xm="http://schemas.microsoft.com/office/excel/2006/main">
          <x14:cfRule type="expression" priority="63" id="{B95F694B-8462-4FD6-9765-6A4299AA6B32}">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BP72:BP74 BP77</xm:sqref>
        </x14:conditionalFormatting>
        <x14:conditionalFormatting xmlns:xm="http://schemas.microsoft.com/office/excel/2006/main">
          <x14:cfRule type="expression" priority="60" id="{CE16ED96-807A-45C5-8F8D-AD4AD5C4100E}">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BS72:BS74 BS77</xm:sqref>
        </x14:conditionalFormatting>
        <x14:conditionalFormatting xmlns:xm="http://schemas.microsoft.com/office/excel/2006/main">
          <x14:cfRule type="expression" priority="57" id="{25EE13C0-8137-4DCF-8F9A-7862169BFC3E}">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BV72:BV74 BV77</xm:sqref>
        </x14:conditionalFormatting>
        <x14:conditionalFormatting xmlns:xm="http://schemas.microsoft.com/office/excel/2006/main">
          <x14:cfRule type="expression" priority="54" id="{3EE6A275-53AE-4205-9AC5-F6DA058C0FEA}">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BY72:BY74 BY77</xm:sqref>
        </x14:conditionalFormatting>
        <x14:conditionalFormatting xmlns:xm="http://schemas.microsoft.com/office/excel/2006/main">
          <x14:cfRule type="expression" priority="51" id="{3FF7718A-2311-4D47-9CBD-D8463C4F0484}">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CB72:CB74 CB77</xm:sqref>
        </x14:conditionalFormatting>
        <x14:conditionalFormatting xmlns:xm="http://schemas.microsoft.com/office/excel/2006/main">
          <x14:cfRule type="expression" priority="48" id="{2E6B92D2-99F8-4BB7-8497-A1B33D98684D}">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CE72:CE74 CE77</xm:sqref>
        </x14:conditionalFormatting>
        <x14:conditionalFormatting xmlns:xm="http://schemas.microsoft.com/office/excel/2006/main">
          <x14:cfRule type="expression" priority="45" id="{6114C69B-36AA-404B-8D60-EBBD120B78D7}">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CH72:CH74 CH77</xm:sqref>
        </x14:conditionalFormatting>
        <x14:conditionalFormatting xmlns:xm="http://schemas.microsoft.com/office/excel/2006/main">
          <x14:cfRule type="expression" priority="42" id="{C1A89513-9DB8-4E8A-A477-82565139270C}">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CK72:CK74 CK77</xm:sqref>
        </x14:conditionalFormatting>
        <x14:conditionalFormatting xmlns:xm="http://schemas.microsoft.com/office/excel/2006/main">
          <x14:cfRule type="expression" priority="39" id="{35A87825-82C9-4A5B-9FB3-BCBF2C41995B}">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CN72:CN74 CN77</xm:sqref>
        </x14:conditionalFormatting>
        <x14:conditionalFormatting xmlns:xm="http://schemas.microsoft.com/office/excel/2006/main">
          <x14:cfRule type="expression" priority="36" id="{11B4BFC3-636C-41F1-9BA3-644E52148E03}">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CQ72:CQ74 CQ77</xm:sqref>
        </x14:conditionalFormatting>
        <x14:conditionalFormatting xmlns:xm="http://schemas.microsoft.com/office/excel/2006/main">
          <x14:cfRule type="expression" priority="35" id="{712BD7EF-A657-43EF-8632-CE8A10AA4E06}">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I16:K22</xm:sqref>
        </x14:conditionalFormatting>
        <x14:conditionalFormatting xmlns:xm="http://schemas.microsoft.com/office/excel/2006/main">
          <x14:cfRule type="expression" priority="34" id="{74AFDCF6-81CA-43E0-A875-6B62D7593536}">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U14:W14</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C50DD25-A806-4952-A74E-078356244332}">
          <x14:formula1>
            <xm:f>'CHARMS.Drop-down response lists'!$D$5:$D$15</xm:f>
          </x14:formula1>
          <xm:sqref>F51:CQ51</xm:sqref>
        </x14:dataValidation>
        <x14:dataValidation type="list" allowBlank="1" showInputMessage="1" showErrorMessage="1" xr:uid="{63976250-EB12-487B-B095-DDDE6122E953}">
          <x14:formula1>
            <xm:f>'CHARMS.Drop-down response lists'!$H$5:$H$17</xm:f>
          </x14:formula1>
          <xm:sqref>F80:CQ80</xm:sqref>
        </x14:dataValidation>
        <x14:dataValidation type="list" allowBlank="1" showInputMessage="1" showErrorMessage="1" xr:uid="{8C10184B-7270-4C35-94AF-747A9F06360D}">
          <x14:formula1>
            <xm:f>'CHARMS.Drop-down response lists'!$C$5:$C$13</xm:f>
          </x14:formula1>
          <xm:sqref>F33:CQ33</xm:sqref>
        </x14:dataValidation>
        <x14:dataValidation type="list" allowBlank="1" showInputMessage="1" showErrorMessage="1" xr:uid="{0C440344-2C8F-4476-995C-D07D5C15A026}">
          <x14:formula1>
            <xm:f>'CHARMS.Drop-down response lists'!$A$5:$A$20</xm:f>
          </x14:formula1>
          <xm:sqref>F14:CQ14</xm:sqref>
        </x14:dataValidation>
        <x14:dataValidation type="list" allowBlank="1" showInputMessage="1" showErrorMessage="1" xr:uid="{EFAB9E8D-14E5-47E8-9973-22B179676BF8}">
          <x14:formula1>
            <xm:f>'CHARMS.Drop-down response lists'!$B$5:$B$17</xm:f>
          </x14:formula1>
          <xm:sqref>H24:H28 K24:K28 N24:N28 Q24:Q28 T24:T28 W24:W28 Z24:Z28 AC24:AC28 AF24:AF28 AI24:AI28 AL24:AL28 AO24:AO28 AR24:AR28 AU24:AU28 AX24:AX28 BA24:BA28 BD24:BD28 BG24:BG28 BJ24:BJ28 BM24:BM28 BP24:BP28 BS24:BS28 BV24:BV28 BY24:BY28 CB24:CB28 CE24:CE28 CH24:CH28 CK24:CK28 CN24:CN28 CQ24:CQ28</xm:sqref>
        </x14:dataValidation>
        <x14:dataValidation type="list" allowBlank="1" showInputMessage="1" showErrorMessage="1" xr:uid="{4067B822-7218-4815-80CB-8E79E0A2E419}">
          <x14:formula1>
            <xm:f>'CHARMS.Drop-down response lists'!$J$5:$J$14</xm:f>
          </x14:formula1>
          <xm:sqref>F85:CQ85</xm:sqref>
        </x14:dataValidation>
        <x14:dataValidation type="list" allowBlank="1" showInputMessage="1" showErrorMessage="1" xr:uid="{99ADA6F1-800E-4C2F-B491-7698ADFAB5FC}">
          <x14:formula1>
            <xm:f>'CHARMS.Drop-down response lists'!$I$5:$I$18</xm:f>
          </x14:formula1>
          <xm:sqref>F81:CQ81</xm:sqref>
        </x14:dataValidation>
        <x14:dataValidation type="list" allowBlank="1" showInputMessage="1" showErrorMessage="1" xr:uid="{752FDA16-22D4-45C3-A789-6325C8D334FB}">
          <x14:formula1>
            <xm:f>'CHARMS.Drop-down response lists'!$K$5:$K$19</xm:f>
          </x14:formula1>
          <xm:sqref>F87:CQ87</xm:sqref>
        </x14:dataValidation>
        <x14:dataValidation type="list" allowBlank="1" showInputMessage="1" showErrorMessage="1" xr:uid="{F81D6C5F-CDA0-4E56-967B-036C5660725E}">
          <x14:formula1>
            <xm:f>'CHARMS.Drop-down response lists'!$F$5:$F$15</xm:f>
          </x14:formula1>
          <xm:sqref>F54:CQ54</xm:sqref>
        </x14:dataValidation>
        <x14:dataValidation type="list" allowBlank="1" showInputMessage="1" showErrorMessage="1" xr:uid="{5FF9D964-F2F2-4126-94B5-D7F95CD3D3EA}">
          <x14:formula1>
            <xm:f>'CHARMS.Drop-down response lists'!$G$5:$G$19</xm:f>
          </x14:formula1>
          <xm:sqref>F55:CQ55</xm:sqref>
        </x14:dataValidation>
        <x14:dataValidation type="list" allowBlank="1" showInputMessage="1" showErrorMessage="1" xr:uid="{29F18338-0F07-44C2-B013-1A36E33356F9}">
          <x14:formula1>
            <xm:f>'CHARMS.Drop-down response lists'!$E$5:$E$17</xm:f>
          </x14:formula1>
          <xm:sqref>F53:CQ53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
    <tabColor theme="4" tint="-0.499984740745262"/>
  </sheetPr>
  <dimension ref="A1:AE80"/>
  <sheetViews>
    <sheetView zoomScaleNormal="100" workbookViewId="0">
      <pane xSplit="1" ySplit="12" topLeftCell="B13" activePane="bottomRight" state="frozen"/>
      <selection pane="topRight" activeCell="B1" sqref="B1"/>
      <selection pane="bottomLeft" activeCell="A13" sqref="A13"/>
      <selection pane="bottomRight" activeCell="B14" sqref="B14"/>
    </sheetView>
  </sheetViews>
  <sheetFormatPr baseColWidth="10" defaultColWidth="11.42578125" defaultRowHeight="15" x14ac:dyDescent="0.25"/>
  <cols>
    <col min="1" max="1" width="71.42578125" style="84" customWidth="1"/>
    <col min="2" max="31" width="40.7109375" style="82" customWidth="1"/>
    <col min="32" max="16384" width="11.42578125" style="82"/>
  </cols>
  <sheetData>
    <row r="1" spans="1:31" s="89" customFormat="1" x14ac:dyDescent="0.25">
      <c r="A1" s="88"/>
    </row>
    <row r="2" spans="1:31" s="89" customFormat="1" x14ac:dyDescent="0.25">
      <c r="A2" s="88"/>
    </row>
    <row r="3" spans="1:31" s="90" customFormat="1" ht="27" customHeight="1" x14ac:dyDescent="0.25">
      <c r="A3" s="173" t="s">
        <v>290</v>
      </c>
    </row>
    <row r="4" spans="1:31" s="90" customFormat="1" x14ac:dyDescent="0.25">
      <c r="A4" s="91"/>
    </row>
    <row r="5" spans="1:31" s="90" customFormat="1" ht="17.25" customHeight="1" thickBot="1" x14ac:dyDescent="0.3">
      <c r="A5" s="92" t="s">
        <v>291</v>
      </c>
    </row>
    <row r="6" spans="1:31" s="93" customFormat="1" ht="29.25" customHeight="1" x14ac:dyDescent="0.2">
      <c r="A6" s="60" t="s">
        <v>292</v>
      </c>
      <c r="B6" s="167" t="str">
        <f>IF(SUMMARY!C7="","",SUMMARY!I7)</f>
        <v>Gaca, 2011</v>
      </c>
      <c r="C6" s="167" t="str">
        <f>IF(SUMMARY!C8="","",SUMMARY!I8)</f>
        <v>De Feo, 2012</v>
      </c>
      <c r="D6" s="167" t="str">
        <f>IF(SUMMARY!C9="","",SUMMARY!I9)</f>
        <v>Martínez-Sellés, 2014</v>
      </c>
      <c r="E6" s="167" t="str">
        <f>IF(SUMMARY!C10="","",SUMMARY!I10)</f>
        <v>Madeira, 2016</v>
      </c>
      <c r="F6" s="167" t="str">
        <f>IF(SUMMARY!C11="","",SUMMARY!I11)</f>
        <v>Gatti (a), 2017</v>
      </c>
      <c r="G6" s="167" t="str">
        <f>IF(SUMMARY!C12="","",SUMMARY!I12)</f>
        <v>Gatti (b), 2017</v>
      </c>
      <c r="H6" s="167" t="str">
        <f>IF(SUMMARY!C13="","",SUMMARY!I13)</f>
        <v>Di Mauro, 2017</v>
      </c>
      <c r="I6" s="167" t="str">
        <f>IF(SUMMARY!C14="","",SUMMARY!I14)</f>
        <v>Gatti (c), 2017</v>
      </c>
      <c r="J6" s="167" t="str">
        <f>IF(SUMMARY!C15="","",SUMMARY!I15)</f>
        <v>Olmos, 2017</v>
      </c>
      <c r="K6" s="167" t="str">
        <f>IF(SUMMARY!C16="","",SUMMARY!I16)</f>
        <v>Fernández-Hidalgo (a), 2018</v>
      </c>
      <c r="L6" s="167" t="str">
        <f>IF(SUMMARY!C17="","",SUMMARY!I17)</f>
        <v>Fernández-Hidalgo (b), 2018</v>
      </c>
      <c r="M6" s="167" t="str">
        <f>IF(SUMMARY!C18="","",SUMMARY!I18)</f>
        <v/>
      </c>
      <c r="N6" s="167" t="str">
        <f>IF(SUMMARY!C19="","",SUMMARY!I19)</f>
        <v/>
      </c>
      <c r="O6" s="167" t="str">
        <f>IF(SUMMARY!C20="","",SUMMARY!I20)</f>
        <v/>
      </c>
      <c r="P6" s="167" t="str">
        <f>IF(SUMMARY!C21="","",SUMMARY!I21)</f>
        <v/>
      </c>
      <c r="Q6" s="167" t="str">
        <f>IF(SUMMARY!C22="","",SUMMARY!I22)</f>
        <v/>
      </c>
      <c r="R6" s="167" t="str">
        <f>IF(SUMMARY!C23="","",SUMMARY!I23)</f>
        <v/>
      </c>
      <c r="S6" s="167" t="str">
        <f>IF(SUMMARY!C24="","",SUMMARY!I24)</f>
        <v/>
      </c>
      <c r="T6" s="167" t="str">
        <f>IF(SUMMARY!C25="","",SUMMARY!I25)</f>
        <v/>
      </c>
      <c r="U6" s="167" t="str">
        <f>IF(SUMMARY!C26="","",SUMMARY!I26)</f>
        <v/>
      </c>
      <c r="V6" s="167" t="str">
        <f>IF(SUMMARY!C27="","",SUMMARY!I27)</f>
        <v/>
      </c>
      <c r="W6" s="167" t="str">
        <f>IF(SUMMARY!C28="","",SUMMARY!I28)</f>
        <v/>
      </c>
      <c r="X6" s="167" t="str">
        <f>IF(SUMMARY!C29="","",SUMMARY!I29)</f>
        <v/>
      </c>
      <c r="Y6" s="167" t="str">
        <f>IF(SUMMARY!C30="","",SUMMARY!I30)</f>
        <v/>
      </c>
      <c r="Z6" s="167" t="str">
        <f>IF(SUMMARY!C31="","",SUMMARY!I31)</f>
        <v/>
      </c>
      <c r="AA6" s="167" t="str">
        <f>IF(SUMMARY!C32="","",SUMMARY!I32)</f>
        <v/>
      </c>
      <c r="AB6" s="167" t="str">
        <f>IF(SUMMARY!C33="","",SUMMARY!I33)</f>
        <v/>
      </c>
      <c r="AC6" s="167" t="str">
        <f>IF(SUMMARY!C34="","",SUMMARY!I34)</f>
        <v/>
      </c>
      <c r="AD6" s="167" t="str">
        <f>IF(SUMMARY!C35="","",SUMMARY!I35)</f>
        <v/>
      </c>
      <c r="AE6" s="167" t="str">
        <f>IF(SUMMARY!C36="","",SUMMARY!I36)</f>
        <v/>
      </c>
    </row>
    <row r="7" spans="1:31" ht="18.75" customHeight="1" x14ac:dyDescent="0.25">
      <c r="A7" s="94" t="s">
        <v>66</v>
      </c>
      <c r="B7" s="95"/>
      <c r="C7" s="95"/>
      <c r="D7" s="95"/>
      <c r="E7" s="95"/>
      <c r="F7" s="95"/>
      <c r="G7" s="95"/>
      <c r="H7" s="95"/>
      <c r="I7" s="95"/>
      <c r="J7" s="95"/>
      <c r="K7" s="95"/>
      <c r="L7" s="95"/>
      <c r="M7" s="95"/>
      <c r="N7" s="95"/>
      <c r="O7" s="95"/>
      <c r="P7" s="95"/>
      <c r="Q7" s="95"/>
      <c r="R7" s="95"/>
      <c r="S7" s="95"/>
      <c r="T7" s="95"/>
      <c r="U7" s="95"/>
      <c r="V7" s="95"/>
      <c r="W7" s="95"/>
      <c r="X7" s="95"/>
      <c r="Y7" s="95"/>
      <c r="Z7" s="95"/>
      <c r="AA7" s="95"/>
      <c r="AB7" s="95"/>
      <c r="AC7" s="95"/>
      <c r="AD7" s="95"/>
      <c r="AE7" s="95"/>
    </row>
    <row r="8" spans="1:31" s="98" customFormat="1" ht="15" customHeight="1" x14ac:dyDescent="0.2">
      <c r="A8" s="96" t="s">
        <v>68</v>
      </c>
      <c r="B8" s="97" t="str">
        <f>IF(SUMMARY!$D7="","",SUMMARY!$D7)</f>
        <v>Gaca</v>
      </c>
      <c r="C8" s="97" t="str">
        <f>IF(SUMMARY!$D8="","",SUMMARY!$D8)</f>
        <v>De Feo</v>
      </c>
      <c r="D8" s="97" t="str">
        <f>IF(SUMMARY!$D9="","",SUMMARY!$D9)</f>
        <v>Martínez-Sellés</v>
      </c>
      <c r="E8" s="97" t="str">
        <f>IF(SUMMARY!$D10="","",SUMMARY!$D10)</f>
        <v>Madeira</v>
      </c>
      <c r="F8" s="97" t="str">
        <f>IF(SUMMARY!$D11="","",SUMMARY!$D11)</f>
        <v>Gatti (a)</v>
      </c>
      <c r="G8" s="97" t="str">
        <f>IF(SUMMARY!$D12="","",SUMMARY!$D12)</f>
        <v>Gatti (b)</v>
      </c>
      <c r="H8" s="97" t="str">
        <f>IF(SUMMARY!$D13="","",SUMMARY!$D13)</f>
        <v>Di Mauro</v>
      </c>
      <c r="I8" s="97" t="str">
        <f>IF(SUMMARY!$D14="","",SUMMARY!$D14)</f>
        <v>Gatti (c)</v>
      </c>
      <c r="J8" s="97" t="str">
        <f>IF(SUMMARY!$D15="","",SUMMARY!$D15)</f>
        <v>Olmos</v>
      </c>
      <c r="K8" s="97" t="str">
        <f>IF(SUMMARY!$D16="","",SUMMARY!$D16)</f>
        <v>Fernández-Hidalgo (a)</v>
      </c>
      <c r="L8" s="97" t="str">
        <f>IF(SUMMARY!$D17="","",SUMMARY!$D17)</f>
        <v>Fernández-Hidalgo (b)</v>
      </c>
      <c r="M8" s="97" t="str">
        <f>IF(SUMMARY!$D18="","",SUMMARY!$D18)</f>
        <v/>
      </c>
      <c r="N8" s="97" t="str">
        <f>IF(SUMMARY!$D19="","",SUMMARY!$D19)</f>
        <v/>
      </c>
      <c r="O8" s="97" t="str">
        <f>IF(SUMMARY!$D20="","",SUMMARY!$D20)</f>
        <v/>
      </c>
      <c r="P8" s="97" t="str">
        <f>IF(SUMMARY!$D21="","",SUMMARY!$D21)</f>
        <v/>
      </c>
      <c r="Q8" s="97" t="str">
        <f>IF(SUMMARY!$D22="","",SUMMARY!$D22)</f>
        <v/>
      </c>
      <c r="R8" s="97" t="str">
        <f>IF(SUMMARY!$D23="","",SUMMARY!$D23)</f>
        <v/>
      </c>
      <c r="S8" s="97" t="str">
        <f>IF(SUMMARY!$D24="","",SUMMARY!$D24)</f>
        <v/>
      </c>
      <c r="T8" s="97" t="str">
        <f>IF(SUMMARY!$D25="","",SUMMARY!$D25)</f>
        <v/>
      </c>
      <c r="U8" s="97" t="str">
        <f>IF(SUMMARY!$D26="","",SUMMARY!$D26)</f>
        <v/>
      </c>
      <c r="V8" s="97" t="str">
        <f>IF(SUMMARY!$D27="","",SUMMARY!$D27)</f>
        <v/>
      </c>
      <c r="W8" s="97" t="str">
        <f>IF(SUMMARY!$D28="","",SUMMARY!$D28)</f>
        <v/>
      </c>
      <c r="X8" s="97" t="str">
        <f>IF(SUMMARY!$D29="","",SUMMARY!$D29)</f>
        <v/>
      </c>
      <c r="Y8" s="97" t="str">
        <f>IF(SUMMARY!$D30="","",SUMMARY!$D30)</f>
        <v/>
      </c>
      <c r="Z8" s="97" t="str">
        <f>IF(SUMMARY!$D31="","",SUMMARY!$D31)</f>
        <v/>
      </c>
      <c r="AA8" s="97" t="str">
        <f>IF(SUMMARY!$D32="","",SUMMARY!$D32)</f>
        <v/>
      </c>
      <c r="AB8" s="97" t="str">
        <f>IF(SUMMARY!$D33="","",SUMMARY!$D33)</f>
        <v/>
      </c>
      <c r="AC8" s="97" t="str">
        <f>IF(SUMMARY!$D34="","",SUMMARY!$D34)</f>
        <v/>
      </c>
      <c r="AD8" s="97" t="str">
        <f>IF(SUMMARY!$D35="","",SUMMARY!$D35)</f>
        <v/>
      </c>
      <c r="AE8" s="97" t="str">
        <f>IF(SUMMARY!$D36="","",SUMMARY!$D36)</f>
        <v/>
      </c>
    </row>
    <row r="9" spans="1:31" s="98" customFormat="1" ht="15" customHeight="1" x14ac:dyDescent="0.2">
      <c r="A9" s="99" t="s">
        <v>69</v>
      </c>
      <c r="B9" s="100">
        <f>IF(SUMMARY!$E7="","",SUMMARY!$E7)</f>
        <v>2011</v>
      </c>
      <c r="C9" s="100">
        <f>IF(SUMMARY!$E8="","",SUMMARY!$E8)</f>
        <v>2012</v>
      </c>
      <c r="D9" s="100">
        <f>IF(SUMMARY!$E9="","",SUMMARY!$E9)</f>
        <v>2014</v>
      </c>
      <c r="E9" s="100">
        <f>IF(SUMMARY!$E10="","",SUMMARY!$E10)</f>
        <v>2016</v>
      </c>
      <c r="F9" s="100">
        <f>IF(SUMMARY!$E11="","",SUMMARY!$E11)</f>
        <v>2017</v>
      </c>
      <c r="G9" s="100">
        <f>IF(SUMMARY!$E12="","",SUMMARY!$E12)</f>
        <v>2017</v>
      </c>
      <c r="H9" s="100">
        <f>IF(SUMMARY!$E13="","",SUMMARY!$E13)</f>
        <v>2017</v>
      </c>
      <c r="I9" s="100">
        <f>IF(SUMMARY!$E14="","",SUMMARY!$E14)</f>
        <v>2017</v>
      </c>
      <c r="J9" s="100">
        <f>IF(SUMMARY!$E15="","",SUMMARY!$E15)</f>
        <v>2017</v>
      </c>
      <c r="K9" s="100">
        <f>IF(SUMMARY!$E16="","",SUMMARY!$E16)</f>
        <v>2018</v>
      </c>
      <c r="L9" s="100">
        <f>IF(SUMMARY!$E17="","",SUMMARY!$E17)</f>
        <v>2018</v>
      </c>
      <c r="M9" s="100" t="str">
        <f>IF(SUMMARY!$E18="","",SUMMARY!$E18)</f>
        <v/>
      </c>
      <c r="N9" s="100" t="str">
        <f>IF(SUMMARY!$E19="","",SUMMARY!$E19)</f>
        <v/>
      </c>
      <c r="O9" s="100" t="str">
        <f>IF(SUMMARY!$E20="","",SUMMARY!$E20)</f>
        <v/>
      </c>
      <c r="P9" s="100" t="str">
        <f>IF(SUMMARY!$E21="","",SUMMARY!$E21)</f>
        <v/>
      </c>
      <c r="Q9" s="100" t="str">
        <f>IF(SUMMARY!$E22="","",SUMMARY!$E22)</f>
        <v/>
      </c>
      <c r="R9" s="100" t="str">
        <f>IF(SUMMARY!$E23="","",SUMMARY!$E23)</f>
        <v/>
      </c>
      <c r="S9" s="100" t="str">
        <f>IF(SUMMARY!$E24="","",SUMMARY!$E24)</f>
        <v/>
      </c>
      <c r="T9" s="100" t="str">
        <f>IF(SUMMARY!$E25="","",SUMMARY!$E25)</f>
        <v/>
      </c>
      <c r="U9" s="100" t="str">
        <f>IF(SUMMARY!$E26="","",SUMMARY!$E26)</f>
        <v/>
      </c>
      <c r="V9" s="100" t="str">
        <f>IF(SUMMARY!$E27="","",SUMMARY!$E27)</f>
        <v/>
      </c>
      <c r="W9" s="100" t="str">
        <f>IF(SUMMARY!$E28="","",SUMMARY!$E28)</f>
        <v/>
      </c>
      <c r="X9" s="100" t="str">
        <f>IF(SUMMARY!$E29="","",SUMMARY!$E29)</f>
        <v/>
      </c>
      <c r="Y9" s="100" t="str">
        <f>IF(SUMMARY!$E30="","",SUMMARY!$E30)</f>
        <v/>
      </c>
      <c r="Z9" s="100" t="str">
        <f>IF(SUMMARY!$E31="","",SUMMARY!$E31)</f>
        <v/>
      </c>
      <c r="AA9" s="100" t="str">
        <f>IF(SUMMARY!$E32="","",SUMMARY!$E32)</f>
        <v/>
      </c>
      <c r="AB9" s="100" t="str">
        <f>IF(SUMMARY!$E33="","",SUMMARY!$E33)</f>
        <v/>
      </c>
      <c r="AC9" s="100" t="str">
        <f>IF(SUMMARY!$E34="","",SUMMARY!$E34)</f>
        <v/>
      </c>
      <c r="AD9" s="100" t="str">
        <f>IF(SUMMARY!$E35="","",SUMMARY!$E35)</f>
        <v/>
      </c>
      <c r="AE9" s="100" t="str">
        <f>IF(SUMMARY!$E36="","",SUMMARY!$E36)</f>
        <v/>
      </c>
    </row>
    <row r="10" spans="1:31" s="98" customFormat="1" ht="15" customHeight="1" x14ac:dyDescent="0.2">
      <c r="A10" s="99" t="s">
        <v>70</v>
      </c>
      <c r="B10" s="187" t="str">
        <f>IF(SUMMARY!$F7="","",SUMMARY!$F7)</f>
        <v>Outcomes for endocarditis surgery in North America: a simplified risk scoring system</v>
      </c>
      <c r="C10" s="187" t="str">
        <f>IF(SUMMARY!$F8="","",SUMMARY!$F8)</f>
        <v>The Need for a Specific Risk Prediction System in Native Valve Infective Endocarditis Surgery</v>
      </c>
      <c r="D10" s="187" t="str">
        <f>IF(SUMMARY!$F9="","",SUMMARY!$F9)</f>
        <v>Valve surgery in active infective endocarditis: A simple score to predict in-hospital prognosis</v>
      </c>
      <c r="E10" s="187" t="str">
        <f>IF(SUMMARY!$F10="","",SUMMARY!$F10)</f>
        <v>Assessment of perioperative mortality risk in patients with infective endocarditis undergoing cardiac surgery: performance of the EuroSCORE I and II logistic models</v>
      </c>
      <c r="F10" s="187" t="str">
        <f>IF(SUMMARY!$F11="","",SUMMARY!$F11)</f>
        <v>Simple Scoring System to Predict In-Hospital Mortality After Surgery for Infective Endocarditis</v>
      </c>
      <c r="G10" s="187" t="str">
        <f>IF(SUMMARY!$F12="","",SUMMARY!$F12)</f>
        <v>Simple Scoring System to Predict In-Hospital Mortality After Surgery for Infective Endocarditis</v>
      </c>
      <c r="H10" s="187" t="str">
        <f>IF(SUMMARY!$F13="","",SUMMARY!$F13)</f>
        <v>A predictive model for early mortality after surgical treatment of heart valve or prosthesis infective endocarditis. The EndoSCORE</v>
      </c>
      <c r="I10" s="187" t="str">
        <f>IF(SUMMARY!$F14="","",SUMMARY!$F14)</f>
        <v>A risk factor analysis for in‑hospital mortality after surgery for infective endocarditis and a proposal of a new predictive scoring system</v>
      </c>
      <c r="J10" s="187" t="str">
        <f>IF(SUMMARY!$F15="","",SUMMARY!$F15)</f>
        <v>Risk score for cardiac surgery in active left-sided infective endocarditis</v>
      </c>
      <c r="K10" s="187" t="str">
        <f>IF(SUMMARY!$F16="","",SUMMARY!$F16)</f>
        <v>A pragmatic approach for mortality prediction after surgery in infective endocarditis: optimizing and refining EuroSCORE</v>
      </c>
      <c r="L10" s="187" t="str">
        <f>IF(SUMMARY!$F17="","",SUMMARY!$F17)</f>
        <v>A pragmatic approach for mortality prediction after surgery in infective endocarditis: optimizing and refining EuroSCORE</v>
      </c>
      <c r="M10" s="187" t="str">
        <f>IF(SUMMARY!$F18="","",SUMMARY!$F18)</f>
        <v/>
      </c>
      <c r="N10" s="187" t="str">
        <f>IF(SUMMARY!$F19="","",SUMMARY!$F19)</f>
        <v/>
      </c>
      <c r="O10" s="187" t="str">
        <f>IF(SUMMARY!$F20="","",SUMMARY!$F20)</f>
        <v/>
      </c>
      <c r="P10" s="187" t="str">
        <f>IF(SUMMARY!$F21="","",SUMMARY!$F21)</f>
        <v/>
      </c>
      <c r="Q10" s="187" t="str">
        <f>IF(SUMMARY!$F22="","",SUMMARY!$F22)</f>
        <v/>
      </c>
      <c r="R10" s="187" t="str">
        <f>IF(SUMMARY!$F23="","",SUMMARY!$F23)</f>
        <v/>
      </c>
      <c r="S10" s="187" t="str">
        <f>IF(SUMMARY!$F24="","",SUMMARY!$F24)</f>
        <v/>
      </c>
      <c r="T10" s="187" t="str">
        <f>IF(SUMMARY!$F25="","",SUMMARY!$F25)</f>
        <v/>
      </c>
      <c r="U10" s="187" t="str">
        <f>IF(SUMMARY!$F26="","",SUMMARY!$F26)</f>
        <v/>
      </c>
      <c r="V10" s="187" t="str">
        <f>IF(SUMMARY!$F27="","",SUMMARY!$F27)</f>
        <v/>
      </c>
      <c r="W10" s="187" t="str">
        <f>IF(SUMMARY!$F28="","",SUMMARY!$F28)</f>
        <v/>
      </c>
      <c r="X10" s="187" t="str">
        <f>IF(SUMMARY!$F29="","",SUMMARY!$F29)</f>
        <v/>
      </c>
      <c r="Y10" s="187" t="str">
        <f>IF(SUMMARY!$F30="","",SUMMARY!$F30)</f>
        <v/>
      </c>
      <c r="Z10" s="187" t="str">
        <f>IF(SUMMARY!$F31="","",SUMMARY!$F31)</f>
        <v/>
      </c>
      <c r="AA10" s="187" t="str">
        <f>IF(SUMMARY!$F32="","",SUMMARY!$F32)</f>
        <v/>
      </c>
      <c r="AB10" s="187" t="str">
        <f>IF(SUMMARY!$F33="","",SUMMARY!$F33)</f>
        <v/>
      </c>
      <c r="AC10" s="187" t="str">
        <f>IF(SUMMARY!$F34="","",SUMMARY!$F34)</f>
        <v/>
      </c>
      <c r="AD10" s="187" t="str">
        <f>IF(SUMMARY!$F35="","",SUMMARY!$F35)</f>
        <v/>
      </c>
      <c r="AE10" s="187" t="str">
        <f>IF(SUMMARY!$F36="","",SUMMARY!$F36)</f>
        <v/>
      </c>
    </row>
    <row r="11" spans="1:31" s="98" customFormat="1" ht="15" customHeight="1" x14ac:dyDescent="0.2">
      <c r="A11" s="99" t="s">
        <v>71</v>
      </c>
      <c r="B11" s="100" t="str">
        <f>IF(SUMMARY!$G7="","",SUMMARY!$G7)</f>
        <v>J Thorac Cardiovasc Surg</v>
      </c>
      <c r="C11" s="100" t="str">
        <f>IF(SUMMARY!$G8="","",SUMMARY!$G8)</f>
        <v>The Scientific World Journal</v>
      </c>
      <c r="D11" s="100" t="str">
        <f>IF(SUMMARY!$G9="","",SUMMARY!$G9)</f>
        <v>International Journal of Cardiology</v>
      </c>
      <c r="E11" s="100" t="str">
        <f>IF(SUMMARY!$G10="","",SUMMARY!$G10)</f>
        <v>Interactive CardioVascular and Thoracic Surgery</v>
      </c>
      <c r="F11" s="100" t="str">
        <f>IF(SUMMARY!$G11="","",SUMMARY!$G11)</f>
        <v>Journal of American Heart Association</v>
      </c>
      <c r="G11" s="100" t="str">
        <f>IF(SUMMARY!$G12="","",SUMMARY!$G12)</f>
        <v>Journal of American Heart Association</v>
      </c>
      <c r="H11" s="100" t="str">
        <f>IF(SUMMARY!$G13="","",SUMMARY!$G13)</f>
        <v>Int J Cardiol</v>
      </c>
      <c r="I11" s="100" t="str">
        <f>IF(SUMMARY!$G14="","",SUMMARY!$G14)</f>
        <v>Infection</v>
      </c>
      <c r="J11" s="100" t="str">
        <f>IF(SUMMARY!$G15="","",SUMMARY!$G15)</f>
        <v>Heart</v>
      </c>
      <c r="K11" s="100" t="str">
        <f>IF(SUMMARY!$G16="","",SUMMARY!$G16)</f>
        <v>Clinical Microbiology and Infection</v>
      </c>
      <c r="L11" s="100" t="str">
        <f>IF(SUMMARY!$G17="","",SUMMARY!$G17)</f>
        <v>Clinical Microbiology and Infection</v>
      </c>
      <c r="M11" s="100" t="str">
        <f>IF(SUMMARY!$G18="","",SUMMARY!$G18)</f>
        <v/>
      </c>
      <c r="N11" s="100" t="str">
        <f>IF(SUMMARY!$G19="","",SUMMARY!$G19)</f>
        <v/>
      </c>
      <c r="O11" s="100" t="str">
        <f>IF(SUMMARY!$G20="","",SUMMARY!$G20)</f>
        <v/>
      </c>
      <c r="P11" s="100" t="str">
        <f>IF(SUMMARY!$G21="","",SUMMARY!$G21)</f>
        <v/>
      </c>
      <c r="Q11" s="100" t="str">
        <f>IF(SUMMARY!$G22="","",SUMMARY!$G22)</f>
        <v/>
      </c>
      <c r="R11" s="100" t="str">
        <f>IF(SUMMARY!$G23="","",SUMMARY!$G23)</f>
        <v/>
      </c>
      <c r="S11" s="100" t="str">
        <f>IF(SUMMARY!$G24="","",SUMMARY!$G24)</f>
        <v/>
      </c>
      <c r="T11" s="100" t="str">
        <f>IF(SUMMARY!$G25="","",SUMMARY!$G25)</f>
        <v/>
      </c>
      <c r="U11" s="100" t="str">
        <f>IF(SUMMARY!$G26="","",SUMMARY!$G26)</f>
        <v/>
      </c>
      <c r="V11" s="100" t="str">
        <f>IF(SUMMARY!$G27="","",SUMMARY!$G27)</f>
        <v/>
      </c>
      <c r="W11" s="100" t="str">
        <f>IF(SUMMARY!$G28="","",SUMMARY!$G28)</f>
        <v/>
      </c>
      <c r="X11" s="100" t="str">
        <f>IF(SUMMARY!$G29="","",SUMMARY!$G29)</f>
        <v/>
      </c>
      <c r="Y11" s="100" t="str">
        <f>IF(SUMMARY!$G30="","",SUMMARY!$G30)</f>
        <v/>
      </c>
      <c r="Z11" s="100" t="str">
        <f>IF(SUMMARY!$G31="","",SUMMARY!$G31)</f>
        <v/>
      </c>
      <c r="AA11" s="100" t="str">
        <f>IF(SUMMARY!$G32="","",SUMMARY!$G32)</f>
        <v/>
      </c>
      <c r="AB11" s="100" t="str">
        <f>IF(SUMMARY!$G33="","",SUMMARY!$G33)</f>
        <v/>
      </c>
      <c r="AC11" s="100" t="str">
        <f>IF(SUMMARY!$G34="","",SUMMARY!$G34)</f>
        <v/>
      </c>
      <c r="AD11" s="100" t="str">
        <f>IF(SUMMARY!$G35="","",SUMMARY!$G35)</f>
        <v/>
      </c>
      <c r="AE11" s="100" t="str">
        <f>IF(SUMMARY!$G36="","",SUMMARY!$G36)</f>
        <v/>
      </c>
    </row>
    <row r="12" spans="1:31" s="98" customFormat="1" ht="15" customHeight="1" x14ac:dyDescent="0.2">
      <c r="A12" s="101" t="s">
        <v>72</v>
      </c>
      <c r="B12" s="102" t="str">
        <f>IF(SUMMARY!$H7="","",SUMMARY!$H7)</f>
        <v>STSS score</v>
      </c>
      <c r="C12" s="102" t="str">
        <f>IF(SUMMARY!$H8="","",SUMMARY!$H8)</f>
        <v>De Feo score</v>
      </c>
      <c r="D12" s="102" t="str">
        <f>IF(SUMMARY!$H9="","",SUMMARY!$H9)</f>
        <v>PALSUSE</v>
      </c>
      <c r="E12" s="102" t="str">
        <f>IF(SUMMARY!$H10="","",SUMMARY!$H10)</f>
        <v>modified EuroSCORE-II</v>
      </c>
      <c r="F12" s="102" t="str">
        <f>IF(SUMMARY!$H11="","",SUMMARY!$H11)</f>
        <v>AEPEI score</v>
      </c>
      <c r="G12" s="102" t="str">
        <f>IF(SUMMARY!$H12="","",SUMMARY!$H12)</f>
        <v>Alternate AEPEI score</v>
      </c>
      <c r="H12" s="102" t="str">
        <f>IF(SUMMARY!$H13="","",SUMMARY!$H13)</f>
        <v>EndoSCORE</v>
      </c>
      <c r="I12" s="102" t="str">
        <f>IF(SUMMARY!$H14="","",SUMMARY!$H14)</f>
        <v>ANCLA score</v>
      </c>
      <c r="J12" s="102" t="str">
        <f>IF(SUMMARY!$H15="","",SUMMARY!$H15)</f>
        <v>RISK-E score</v>
      </c>
      <c r="K12" s="102" t="str">
        <f>IF(SUMMARY!$H16="","",SUMMARY!$H16)</f>
        <v>Specific EuroSCORE-I</v>
      </c>
      <c r="L12" s="102" t="str">
        <f>IF(SUMMARY!$H17="","",SUMMARY!$H17)</f>
        <v>Specific EuroSCORE-II</v>
      </c>
      <c r="M12" s="102" t="str">
        <f>IF(SUMMARY!$H18="","",SUMMARY!$H18)</f>
        <v/>
      </c>
      <c r="N12" s="102" t="str">
        <f>IF(SUMMARY!$H19="","",SUMMARY!$H19)</f>
        <v/>
      </c>
      <c r="O12" s="102" t="str">
        <f>IF(SUMMARY!$H20="","",SUMMARY!$H20)</f>
        <v/>
      </c>
      <c r="P12" s="102" t="str">
        <f>IF(SUMMARY!$H21="","",SUMMARY!$H21)</f>
        <v/>
      </c>
      <c r="Q12" s="102" t="str">
        <f>IF(SUMMARY!$H22="","",SUMMARY!$H22)</f>
        <v/>
      </c>
      <c r="R12" s="102" t="str">
        <f>IF(SUMMARY!$H23="","",SUMMARY!$H23)</f>
        <v/>
      </c>
      <c r="S12" s="102" t="str">
        <f>IF(SUMMARY!$H24="","",SUMMARY!$H24)</f>
        <v/>
      </c>
      <c r="T12" s="102" t="str">
        <f>IF(SUMMARY!$H25="","",SUMMARY!$H25)</f>
        <v/>
      </c>
      <c r="U12" s="102" t="str">
        <f>IF(SUMMARY!$H26="","",SUMMARY!$H26)</f>
        <v/>
      </c>
      <c r="V12" s="102" t="str">
        <f>IF(SUMMARY!$H27="","",SUMMARY!$H27)</f>
        <v/>
      </c>
      <c r="W12" s="102" t="str">
        <f>IF(SUMMARY!$H28="","",SUMMARY!$H28)</f>
        <v/>
      </c>
      <c r="X12" s="102" t="str">
        <f>IF(SUMMARY!$H29="","",SUMMARY!$H29)</f>
        <v/>
      </c>
      <c r="Y12" s="102" t="str">
        <f>IF(SUMMARY!$H30="","",SUMMARY!$H30)</f>
        <v/>
      </c>
      <c r="Z12" s="102" t="str">
        <f>IF(SUMMARY!$H31="","",SUMMARY!$H31)</f>
        <v/>
      </c>
      <c r="AA12" s="102" t="str">
        <f>IF(SUMMARY!$H32="","",SUMMARY!$H32)</f>
        <v/>
      </c>
      <c r="AB12" s="102" t="str">
        <f>IF(SUMMARY!$H33="","",SUMMARY!$H33)</f>
        <v/>
      </c>
      <c r="AC12" s="102" t="str">
        <f>IF(SUMMARY!$H34="","",SUMMARY!$H34)</f>
        <v/>
      </c>
      <c r="AD12" s="102" t="str">
        <f>IF(SUMMARY!$H35="","",SUMMARY!$H35)</f>
        <v/>
      </c>
      <c r="AE12" s="102" t="str">
        <f>IF(SUMMARY!$H36="","",SUMMARY!$H36)</f>
        <v/>
      </c>
    </row>
    <row r="13" spans="1:31" ht="18.75" customHeight="1" x14ac:dyDescent="0.25">
      <c r="A13" s="94" t="s">
        <v>293</v>
      </c>
      <c r="B13" s="95"/>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row>
    <row r="14" spans="1:31" s="104" customFormat="1" ht="15" customHeight="1" x14ac:dyDescent="0.25">
      <c r="A14" s="103" t="s">
        <v>294</v>
      </c>
      <c r="B14" s="27" t="s">
        <v>295</v>
      </c>
      <c r="C14" s="27" t="s">
        <v>295</v>
      </c>
      <c r="D14" s="27" t="s">
        <v>295</v>
      </c>
      <c r="E14" s="27" t="s">
        <v>295</v>
      </c>
      <c r="F14" s="27" t="s">
        <v>295</v>
      </c>
      <c r="G14" s="27" t="s">
        <v>295</v>
      </c>
      <c r="H14" s="27" t="s">
        <v>295</v>
      </c>
      <c r="I14" s="27" t="s">
        <v>295</v>
      </c>
      <c r="J14" s="27" t="s">
        <v>295</v>
      </c>
      <c r="K14" s="27" t="s">
        <v>295</v>
      </c>
      <c r="L14" s="27" t="s">
        <v>295</v>
      </c>
      <c r="M14" s="27"/>
      <c r="N14" s="27"/>
      <c r="O14" s="27"/>
      <c r="P14" s="27"/>
      <c r="Q14" s="27"/>
      <c r="R14" s="27"/>
      <c r="S14" s="27"/>
      <c r="T14" s="27"/>
      <c r="U14" s="27"/>
      <c r="V14" s="27"/>
      <c r="W14" s="27"/>
      <c r="X14" s="27"/>
      <c r="Y14" s="27"/>
      <c r="Z14" s="27"/>
      <c r="AA14" s="27"/>
      <c r="AB14" s="27"/>
      <c r="AC14" s="27"/>
      <c r="AD14" s="27"/>
      <c r="AE14" s="27"/>
    </row>
    <row r="15" spans="1:31" s="104" customFormat="1" ht="15" customHeight="1" x14ac:dyDescent="0.25">
      <c r="A15" s="105" t="s">
        <v>296</v>
      </c>
      <c r="B15" s="28" t="s">
        <v>297</v>
      </c>
      <c r="C15" s="28" t="s">
        <v>295</v>
      </c>
      <c r="D15" s="28" t="s">
        <v>295</v>
      </c>
      <c r="E15" s="28" t="s">
        <v>298</v>
      </c>
      <c r="F15" s="28" t="s">
        <v>295</v>
      </c>
      <c r="G15" s="28" t="s">
        <v>295</v>
      </c>
      <c r="H15" s="28" t="s">
        <v>298</v>
      </c>
      <c r="I15" s="28" t="s">
        <v>295</v>
      </c>
      <c r="J15" s="28" t="s">
        <v>295</v>
      </c>
      <c r="K15" s="28" t="s">
        <v>295</v>
      </c>
      <c r="L15" s="28" t="s">
        <v>295</v>
      </c>
      <c r="M15" s="28"/>
      <c r="N15" s="28"/>
      <c r="O15" s="28"/>
      <c r="P15" s="28"/>
      <c r="Q15" s="28"/>
      <c r="R15" s="28"/>
      <c r="S15" s="28"/>
      <c r="T15" s="28"/>
      <c r="U15" s="28"/>
      <c r="V15" s="28"/>
      <c r="W15" s="28"/>
      <c r="X15" s="28"/>
      <c r="Y15" s="28"/>
      <c r="Z15" s="28"/>
      <c r="AA15" s="28"/>
      <c r="AB15" s="28"/>
      <c r="AC15" s="28"/>
      <c r="AD15" s="28"/>
      <c r="AE15" s="28"/>
    </row>
    <row r="16" spans="1:31" s="83" customFormat="1" ht="18.75" customHeight="1" x14ac:dyDescent="0.25">
      <c r="A16" s="106" t="s">
        <v>299</v>
      </c>
      <c r="B16" s="33" t="s">
        <v>300</v>
      </c>
      <c r="C16" s="33" t="s">
        <v>300</v>
      </c>
      <c r="D16" s="33" t="s">
        <v>301</v>
      </c>
      <c r="E16" s="33" t="s">
        <v>106</v>
      </c>
      <c r="F16" s="33" t="s">
        <v>301</v>
      </c>
      <c r="G16" s="33" t="s">
        <v>301</v>
      </c>
      <c r="H16" s="33" t="s">
        <v>106</v>
      </c>
      <c r="I16" s="33" t="s">
        <v>301</v>
      </c>
      <c r="J16" s="33" t="s">
        <v>301</v>
      </c>
      <c r="K16" s="33" t="s">
        <v>301</v>
      </c>
      <c r="L16" s="33" t="s">
        <v>301</v>
      </c>
      <c r="M16" s="33"/>
      <c r="N16" s="33"/>
      <c r="O16" s="33"/>
      <c r="P16" s="33"/>
      <c r="Q16" s="33"/>
      <c r="R16" s="33"/>
      <c r="S16" s="33"/>
      <c r="T16" s="33"/>
      <c r="U16" s="33"/>
      <c r="V16" s="33"/>
      <c r="W16" s="33"/>
      <c r="X16" s="33"/>
      <c r="Y16" s="33"/>
      <c r="Z16" s="33"/>
      <c r="AA16" s="33"/>
      <c r="AB16" s="33"/>
      <c r="AC16" s="33"/>
      <c r="AD16" s="33"/>
      <c r="AE16" s="33"/>
    </row>
    <row r="17" spans="1:31" s="83" customFormat="1" ht="18.75" customHeight="1" x14ac:dyDescent="0.25">
      <c r="A17" s="107" t="s">
        <v>302</v>
      </c>
      <c r="B17" s="34" t="s">
        <v>303</v>
      </c>
      <c r="C17" s="34" t="s">
        <v>304</v>
      </c>
      <c r="D17" s="34" t="s">
        <v>303</v>
      </c>
      <c r="E17" s="34" t="s">
        <v>106</v>
      </c>
      <c r="F17" s="34" t="s">
        <v>303</v>
      </c>
      <c r="G17" s="34" t="s">
        <v>303</v>
      </c>
      <c r="H17" s="34" t="s">
        <v>106</v>
      </c>
      <c r="I17" s="34" t="s">
        <v>303</v>
      </c>
      <c r="J17" s="34" t="s">
        <v>303</v>
      </c>
      <c r="K17" s="34" t="s">
        <v>303</v>
      </c>
      <c r="L17" s="34" t="s">
        <v>303</v>
      </c>
      <c r="M17" s="34"/>
      <c r="N17" s="34"/>
      <c r="O17" s="34"/>
      <c r="P17" s="34"/>
      <c r="Q17" s="34"/>
      <c r="R17" s="34"/>
      <c r="S17" s="34"/>
      <c r="T17" s="34"/>
      <c r="U17" s="34"/>
      <c r="V17" s="34"/>
      <c r="W17" s="34"/>
      <c r="X17" s="34"/>
      <c r="Y17" s="34"/>
      <c r="Z17" s="34"/>
      <c r="AA17" s="34"/>
      <c r="AB17" s="34"/>
      <c r="AC17" s="34"/>
      <c r="AD17" s="34"/>
      <c r="AE17" s="34"/>
    </row>
    <row r="18" spans="1:31" s="83" customFormat="1" ht="15" customHeight="1" x14ac:dyDescent="0.25">
      <c r="A18" s="108" t="s">
        <v>305</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row>
    <row r="19" spans="1:31" s="83" customFormat="1" ht="15" customHeight="1" x14ac:dyDescent="0.25">
      <c r="A19" s="110" t="s">
        <v>306</v>
      </c>
      <c r="B19" s="111" t="str">
        <f>IF(HLOOKUP(B$6,CHARMS!$A$6:$CQ$92,9,)&lt;&gt;0,HLOOKUP(B$6,CHARMS!$A$6:$CQ$92,9,),"")</f>
        <v>Existing registry</v>
      </c>
      <c r="C19" s="111" t="str">
        <f>IF(HLOOKUP(C$6,CHARMS!$A$6:$CQ$92,9,)&lt;&gt;0,HLOOKUP(C$6,CHARMS!$A$6:$CQ$92,9,),"")</f>
        <v>Retrospective cohort</v>
      </c>
      <c r="D19" s="111" t="str">
        <f>IF(HLOOKUP(D$6,CHARMS!$A$6:$CQ$92,9,)&lt;&gt;0,HLOOKUP(D$6,CHARMS!$A$6:$CQ$92,9,),"")</f>
        <v>Existing registry</v>
      </c>
      <c r="E19" s="111" t="str">
        <f>IF(HLOOKUP(E$6,CHARMS!$A$6:$CQ$92,9,)&lt;&gt;0,HLOOKUP(E$6,CHARMS!$A$6:$CQ$92,9,),"")</f>
        <v>Retrospective cohort</v>
      </c>
      <c r="F19" s="111" t="str">
        <f>IF(HLOOKUP(F$6,CHARMS!$A$6:$CQ$92,9,)&lt;&gt;0,HLOOKUP(F$6,CHARMS!$A$6:$CQ$92,9,),"")</f>
        <v>Other (specify)</v>
      </c>
      <c r="G19" s="111" t="str">
        <f>IF(HLOOKUP(G$6,CHARMS!$A$6:$CQ$92,9,)&lt;&gt;0,HLOOKUP(G$6,CHARMS!$A$6:$CQ$92,9,),"")</f>
        <v>Other (specify)</v>
      </c>
      <c r="H19" s="111" t="str">
        <f>IF(HLOOKUP(H$6,CHARMS!$A$6:$CQ$92,9,)&lt;&gt;0,HLOOKUP(H$6,CHARMS!$A$6:$CQ$92,9,),"")</f>
        <v>Retrospective cohort</v>
      </c>
      <c r="I19" s="111" t="str">
        <f>IF(HLOOKUP(I$6,CHARMS!$A$6:$CQ$92,9,)&lt;&gt;0,HLOOKUP(I$6,CHARMS!$A$6:$CQ$92,9,),"")</f>
        <v>Retrospective cohort</v>
      </c>
      <c r="J19" s="111" t="str">
        <f>IF(HLOOKUP(J$6,CHARMS!$A$6:$CQ$92,9,)&lt;&gt;0,HLOOKUP(J$6,CHARMS!$A$6:$CQ$92,9,),"")</f>
        <v>Retrospective cohort</v>
      </c>
      <c r="K19" s="111" t="str">
        <f>IF(HLOOKUP(K$6,CHARMS!$A$6:$CQ$92,9,)&lt;&gt;0,HLOOKUP(K$6,CHARMS!$A$6:$CQ$92,9,),"")</f>
        <v>Retrospective cohort</v>
      </c>
      <c r="L19" s="111" t="str">
        <f>IF(HLOOKUP(L$6,CHARMS!$A$6:$CQ$92,9,)&lt;&gt;0,HLOOKUP(L$6,CHARMS!$A$6:$CQ$92,9,),"")</f>
        <v>Retrospective cohort</v>
      </c>
      <c r="M19" s="111" t="str">
        <f>IF(HLOOKUP(M$6,CHARMS!$A$6:$CQ$92,9,)&lt;&gt;0,HLOOKUP(M$6,CHARMS!$A$6:$CQ$92,9,),"")</f>
        <v/>
      </c>
      <c r="N19" s="111" t="str">
        <f>IF(HLOOKUP(N$6,CHARMS!$A$6:$CQ$92,9,)&lt;&gt;0,HLOOKUP(N$6,CHARMS!$A$6:$CQ$92,9,),"")</f>
        <v/>
      </c>
      <c r="O19" s="111" t="str">
        <f>IF(HLOOKUP(O$6,CHARMS!$A$6:$CQ$92,9,)&lt;&gt;0,HLOOKUP(O$6,CHARMS!$A$6:$CQ$92,9,),"")</f>
        <v/>
      </c>
      <c r="P19" s="111" t="str">
        <f>IF(HLOOKUP(P$6,CHARMS!$A$6:$CQ$92,9,)&lt;&gt;0,HLOOKUP(P$6,CHARMS!$A$6:$CQ$92,9,),"")</f>
        <v/>
      </c>
      <c r="Q19" s="111" t="str">
        <f>IF(HLOOKUP(Q$6,CHARMS!$A$6:$CQ$92,9,)&lt;&gt;0,HLOOKUP(Q$6,CHARMS!$A$6:$CQ$92,9,),"")</f>
        <v/>
      </c>
      <c r="R19" s="111" t="str">
        <f>IF(HLOOKUP(R$6,CHARMS!$A$6:$CQ$92,9,)&lt;&gt;0,HLOOKUP(R$6,CHARMS!$A$6:$CQ$92,9,),"")</f>
        <v/>
      </c>
      <c r="S19" s="111" t="str">
        <f>IF(HLOOKUP(S$6,CHARMS!$A$6:$CQ$92,9,)&lt;&gt;0,HLOOKUP(S$6,CHARMS!$A$6:$CQ$92,9,),"")</f>
        <v/>
      </c>
      <c r="T19" s="111" t="str">
        <f>IF(HLOOKUP(T$6,CHARMS!$A$6:$CQ$92,9,)&lt;&gt;0,HLOOKUP(T$6,CHARMS!$A$6:$CQ$92,9,),"")</f>
        <v/>
      </c>
      <c r="U19" s="111" t="str">
        <f>IF(HLOOKUP(U$6,CHARMS!$A$6:$CQ$92,9,)&lt;&gt;0,HLOOKUP(U$6,CHARMS!$A$6:$CQ$92,9,),"")</f>
        <v/>
      </c>
      <c r="V19" s="111" t="str">
        <f>IF(HLOOKUP(V$6,CHARMS!$A$6:$CQ$92,9,)&lt;&gt;0,HLOOKUP(V$6,CHARMS!$A$6:$CQ$92,9,),"")</f>
        <v/>
      </c>
      <c r="W19" s="111" t="str">
        <f>IF(HLOOKUP(W$6,CHARMS!$A$6:$CQ$92,9,)&lt;&gt;0,HLOOKUP(W$6,CHARMS!$A$6:$CQ$92,9,),"")</f>
        <v/>
      </c>
      <c r="X19" s="111" t="str">
        <f>IF(HLOOKUP(X$6,CHARMS!$A$6:$CQ$92,9,)&lt;&gt;0,HLOOKUP(X$6,CHARMS!$A$6:$CQ$92,9,),"")</f>
        <v/>
      </c>
      <c r="Y19" s="111" t="str">
        <f>IF(HLOOKUP(Y$6,CHARMS!$A$6:$CQ$92,9,)&lt;&gt;0,HLOOKUP(Y$6,CHARMS!$A$6:$CQ$92,9,),"")</f>
        <v/>
      </c>
      <c r="Z19" s="111" t="str">
        <f>IF(HLOOKUP(Z$6,CHARMS!$A$6:$CQ$92,9,)&lt;&gt;0,HLOOKUP(Z$6,CHARMS!$A$6:$CQ$92,9,),"")</f>
        <v/>
      </c>
      <c r="AA19" s="111" t="str">
        <f>IF(HLOOKUP(AA$6,CHARMS!$A$6:$CQ$92,9,)&lt;&gt;0,HLOOKUP(AA$6,CHARMS!$A$6:$CQ$92,9,),"")</f>
        <v/>
      </c>
      <c r="AB19" s="111" t="str">
        <f>IF(HLOOKUP(AB$6,CHARMS!$A$6:$CQ$92,9,)&lt;&gt;0,HLOOKUP(AB$6,CHARMS!$A$6:$CQ$92,9,),"")</f>
        <v/>
      </c>
      <c r="AC19" s="111" t="str">
        <f>IF(HLOOKUP(AC$6,CHARMS!$A$6:$CQ$92,9,)&lt;&gt;0,HLOOKUP(AC$6,CHARMS!$A$6:$CQ$92,9,),"")</f>
        <v/>
      </c>
      <c r="AD19" s="111" t="str">
        <f>IF(HLOOKUP(AD$6,CHARMS!$A$6:$CQ$92,9,)&lt;&gt;0,HLOOKUP(AD$6,CHARMS!$A$6:$CQ$92,9,),"")</f>
        <v/>
      </c>
      <c r="AE19" s="111" t="str">
        <f>IF(HLOOKUP(AE$6,CHARMS!$A$6:$CQ$92,9,)&lt;&gt;0,HLOOKUP(AE$6,CHARMS!$A$6:$CQ$92,9,),"")</f>
        <v/>
      </c>
    </row>
    <row r="20" spans="1:31" s="83" customFormat="1" ht="15" customHeight="1" x14ac:dyDescent="0.25">
      <c r="A20" s="110" t="s">
        <v>307</v>
      </c>
      <c r="B20" s="111" t="str">
        <f>IF(HLOOKUP(B$6,CHARMS!$A$6:$CQ$92,11,)&lt;&gt;0,HLOOKUP(B$6,CHARMS!$A$6:$CQ$92,11,),"")</f>
        <v>Selective inclusion</v>
      </c>
      <c r="C20" s="111" t="str">
        <f>IF(HLOOKUP(C$6,CHARMS!$A$6:$CQ$92,11,)&lt;&gt;0,HLOOKUP(C$6,CHARMS!$A$6:$CQ$92,11,),"")</f>
        <v>Prospective recruitment</v>
      </c>
      <c r="D20" s="111" t="str">
        <f>IF(HLOOKUP(D$6,CHARMS!$A$6:$CQ$92,11,)&lt;&gt;0,HLOOKUP(D$6,CHARMS!$A$6:$CQ$92,11,),"")</f>
        <v>Consecutive patients</v>
      </c>
      <c r="E20" s="111" t="str">
        <f>IF(HLOOKUP(E$6,CHARMS!$A$6:$CQ$92,11,)&lt;&gt;0,HLOOKUP(E$6,CHARMS!$A$6:$CQ$92,11,),"")</f>
        <v>No information</v>
      </c>
      <c r="F20" s="111" t="str">
        <f>IF(HLOOKUP(F$6,CHARMS!$A$6:$CQ$92,11,)&lt;&gt;0,HLOOKUP(F$6,CHARMS!$A$6:$CQ$92,11,),"")</f>
        <v>Consecutive patients</v>
      </c>
      <c r="G20" s="111" t="str">
        <f>IF(HLOOKUP(G$6,CHARMS!$A$6:$CQ$92,11,)&lt;&gt;0,HLOOKUP(G$6,CHARMS!$A$6:$CQ$92,11,),"")</f>
        <v>Consecutive patients</v>
      </c>
      <c r="H20" s="111" t="str">
        <f>IF(HLOOKUP(H$6,CHARMS!$A$6:$CQ$92,11,)&lt;&gt;0,HLOOKUP(H$6,CHARMS!$A$6:$CQ$92,11,),"")</f>
        <v>No information</v>
      </c>
      <c r="I20" s="111" t="str">
        <f>IF(HLOOKUP(I$6,CHARMS!$A$6:$CQ$92,11,)&lt;&gt;0,HLOOKUP(I$6,CHARMS!$A$6:$CQ$92,11,),"")</f>
        <v>Consecutive patients</v>
      </c>
      <c r="J20" s="111" t="str">
        <f>IF(HLOOKUP(J$6,CHARMS!$A$6:$CQ$92,11,)&lt;&gt;0,HLOOKUP(J$6,CHARMS!$A$6:$CQ$92,11,),"")</f>
        <v>Consecutive patients prospectively recruited on an ongoing database</v>
      </c>
      <c r="K20" s="111" t="str">
        <f>IF(HLOOKUP(K$6,CHARMS!$A$6:$CQ$92,11,)&lt;&gt;0,HLOOKUP(K$6,CHARMS!$A$6:$CQ$92,11,),"")</f>
        <v>Consecutive patients</v>
      </c>
      <c r="L20" s="111" t="str">
        <f>IF(HLOOKUP(L$6,CHARMS!$A$6:$CQ$92,11,)&lt;&gt;0,HLOOKUP(L$6,CHARMS!$A$6:$CQ$92,11,),"")</f>
        <v>Consecutive patients</v>
      </c>
      <c r="M20" s="111" t="str">
        <f>IF(HLOOKUP(M$6,CHARMS!$A$6:$CQ$92,11,)&lt;&gt;0,HLOOKUP(M$6,CHARMS!$A$6:$CQ$92,11,),"")</f>
        <v/>
      </c>
      <c r="N20" s="111" t="str">
        <f>IF(HLOOKUP(N$6,CHARMS!$A$6:$CQ$92,11,)&lt;&gt;0,HLOOKUP(N$6,CHARMS!$A$6:$CQ$92,11,),"")</f>
        <v/>
      </c>
      <c r="O20" s="111" t="str">
        <f>IF(HLOOKUP(O$6,CHARMS!$A$6:$CQ$92,11,)&lt;&gt;0,HLOOKUP(O$6,CHARMS!$A$6:$CQ$92,11,),"")</f>
        <v/>
      </c>
      <c r="P20" s="111" t="str">
        <f>IF(HLOOKUP(P$6,CHARMS!$A$6:$CQ$92,11,)&lt;&gt;0,HLOOKUP(P$6,CHARMS!$A$6:$CQ$92,11,),"")</f>
        <v/>
      </c>
      <c r="Q20" s="111" t="str">
        <f>IF(HLOOKUP(Q$6,CHARMS!$A$6:$CQ$92,11,)&lt;&gt;0,HLOOKUP(Q$6,CHARMS!$A$6:$CQ$92,11,),"")</f>
        <v/>
      </c>
      <c r="R20" s="111" t="str">
        <f>IF(HLOOKUP(R$6,CHARMS!$A$6:$CQ$92,11,)&lt;&gt;0,HLOOKUP(R$6,CHARMS!$A$6:$CQ$92,11,),"")</f>
        <v/>
      </c>
      <c r="S20" s="111" t="str">
        <f>IF(HLOOKUP(S$6,CHARMS!$A$6:$CQ$92,11,)&lt;&gt;0,HLOOKUP(S$6,CHARMS!$A$6:$CQ$92,11,),"")</f>
        <v/>
      </c>
      <c r="T20" s="111" t="str">
        <f>IF(HLOOKUP(T$6,CHARMS!$A$6:$CQ$92,11,)&lt;&gt;0,HLOOKUP(T$6,CHARMS!$A$6:$CQ$92,11,),"")</f>
        <v/>
      </c>
      <c r="U20" s="111" t="str">
        <f>IF(HLOOKUP(U$6,CHARMS!$A$6:$CQ$92,11,)&lt;&gt;0,HLOOKUP(U$6,CHARMS!$A$6:$CQ$92,11,),"")</f>
        <v/>
      </c>
      <c r="V20" s="111" t="str">
        <f>IF(HLOOKUP(V$6,CHARMS!$A$6:$CQ$92,11,)&lt;&gt;0,HLOOKUP(V$6,CHARMS!$A$6:$CQ$92,11,),"")</f>
        <v/>
      </c>
      <c r="W20" s="111" t="str">
        <f>IF(HLOOKUP(W$6,CHARMS!$A$6:$CQ$92,11,)&lt;&gt;0,HLOOKUP(W$6,CHARMS!$A$6:$CQ$92,11,),"")</f>
        <v/>
      </c>
      <c r="X20" s="111" t="str">
        <f>IF(HLOOKUP(X$6,CHARMS!$A$6:$CQ$92,11,)&lt;&gt;0,HLOOKUP(X$6,CHARMS!$A$6:$CQ$92,11,),"")</f>
        <v/>
      </c>
      <c r="Y20" s="111" t="str">
        <f>IF(HLOOKUP(Y$6,CHARMS!$A$6:$CQ$92,11,)&lt;&gt;0,HLOOKUP(Y$6,CHARMS!$A$6:$CQ$92,11,),"")</f>
        <v/>
      </c>
      <c r="Z20" s="111" t="str">
        <f>IF(HLOOKUP(Z$6,CHARMS!$A$6:$CQ$92,11,)&lt;&gt;0,HLOOKUP(Z$6,CHARMS!$A$6:$CQ$92,11,),"")</f>
        <v/>
      </c>
      <c r="AA20" s="111" t="str">
        <f>IF(HLOOKUP(AA$6,CHARMS!$A$6:$CQ$92,11,)&lt;&gt;0,HLOOKUP(AA$6,CHARMS!$A$6:$CQ$92,11,),"")</f>
        <v/>
      </c>
      <c r="AB20" s="111" t="str">
        <f>IF(HLOOKUP(AB$6,CHARMS!$A$6:$CQ$92,11,)&lt;&gt;0,HLOOKUP(AB$6,CHARMS!$A$6:$CQ$92,11,),"")</f>
        <v/>
      </c>
      <c r="AC20" s="111" t="str">
        <f>IF(HLOOKUP(AC$6,CHARMS!$A$6:$CQ$92,11,)&lt;&gt;0,HLOOKUP(AC$6,CHARMS!$A$6:$CQ$92,11,),"")</f>
        <v/>
      </c>
      <c r="AD20" s="111" t="str">
        <f>IF(HLOOKUP(AD$6,CHARMS!$A$6:$CQ$92,11,)&lt;&gt;0,HLOOKUP(AD$6,CHARMS!$A$6:$CQ$92,11,),"")</f>
        <v/>
      </c>
      <c r="AE20" s="111" t="str">
        <f>IF(HLOOKUP(AE$6,CHARMS!$A$6:$CQ$92,11,)&lt;&gt;0,HLOOKUP(AE$6,CHARMS!$A$6:$CQ$92,11,),"")</f>
        <v/>
      </c>
    </row>
    <row r="21" spans="1:31" s="83" customFormat="1" ht="15" customHeight="1" x14ac:dyDescent="0.25">
      <c r="A21" s="110" t="s">
        <v>308</v>
      </c>
      <c r="B21" s="111" t="str">
        <f>IF(HLOOKUP(B$6,CHARMS!$A$6:$CQ$92,12,)&lt;&gt;0,HLOOKUP(B$6,CHARMS!$A$6:$CQ$92,12,),"")</f>
        <v>2002 - 2008</v>
      </c>
      <c r="C21" s="111" t="str">
        <f>IF(HLOOKUP(C$6,CHARMS!$A$6:$CQ$92,12,)&lt;&gt;0,HLOOKUP(C$6,CHARMS!$A$6:$CQ$92,12,),"")</f>
        <v>1980 - 2009</v>
      </c>
      <c r="D21" s="111" t="str">
        <f>IF(HLOOKUP(D$6,CHARMS!$A$6:$CQ$92,12,)&lt;&gt;0,HLOOKUP(D$6,CHARMS!$A$6:$CQ$92,12,),"")</f>
        <v>2008 - 2010</v>
      </c>
      <c r="E21" s="111" t="str">
        <f>IF(HLOOKUP(E$6,CHARMS!$A$6:$CQ$92,12,)&lt;&gt;0,HLOOKUP(E$6,CHARMS!$A$6:$CQ$92,12,),"")</f>
        <v>2007 - 2014</v>
      </c>
      <c r="F21" s="111" t="str">
        <f>IF(HLOOKUP(F$6,CHARMS!$A$6:$CQ$92,12,)&lt;&gt;0,HLOOKUP(F$6,CHARMS!$A$6:$CQ$92,12,),"")</f>
        <v>2000 - 2015 (Italy) 2008 (France)</v>
      </c>
      <c r="G21" s="111" t="str">
        <f>IF(HLOOKUP(G$6,CHARMS!$A$6:$CQ$92,12,)&lt;&gt;0,HLOOKUP(G$6,CHARMS!$A$6:$CQ$92,12,),"")</f>
        <v>2000 - 2015 (Italy) 2008 (France)</v>
      </c>
      <c r="H21" s="111" t="str">
        <f>IF(HLOOKUP(H$6,CHARMS!$A$6:$CQ$92,12,)&lt;&gt;0,HLOOKUP(H$6,CHARMS!$A$6:$CQ$92,12,),"")</f>
        <v>2000 - 2015</v>
      </c>
      <c r="I21" s="111" t="str">
        <f>IF(HLOOKUP(I$6,CHARMS!$A$6:$CQ$92,12,)&lt;&gt;0,HLOOKUP(I$6,CHARMS!$A$6:$CQ$92,12,),"")</f>
        <v>1999 - 2015</v>
      </c>
      <c r="J21" s="111" t="str">
        <f>IF(HLOOKUP(J$6,CHARMS!$A$6:$CQ$92,12,)&lt;&gt;0,HLOOKUP(J$6,CHARMS!$A$6:$CQ$92,12,),"")</f>
        <v>1996 - 2014</v>
      </c>
      <c r="K21" s="111" t="str">
        <f>IF(HLOOKUP(K$6,CHARMS!$A$6:$CQ$92,12,)&lt;&gt;0,HLOOKUP(K$6,CHARMS!$A$6:$CQ$92,12,),"")</f>
        <v>2000 - 2011</v>
      </c>
      <c r="L21" s="111" t="str">
        <f>IF(HLOOKUP(L$6,CHARMS!$A$6:$CQ$92,12,)&lt;&gt;0,HLOOKUP(L$6,CHARMS!$A$6:$CQ$92,12,),"")</f>
        <v>2000 - 2011</v>
      </c>
      <c r="M21" s="111" t="str">
        <f>IF(HLOOKUP(M$6,CHARMS!$A$6:$CQ$92,12,)&lt;&gt;0,HLOOKUP(M$6,CHARMS!$A$6:$CQ$92,12,),"")</f>
        <v/>
      </c>
      <c r="N21" s="111" t="str">
        <f>IF(HLOOKUP(N$6,CHARMS!$A$6:$CQ$92,12,)&lt;&gt;0,HLOOKUP(N$6,CHARMS!$A$6:$CQ$92,12,),"")</f>
        <v/>
      </c>
      <c r="O21" s="111" t="str">
        <f>IF(HLOOKUP(O$6,CHARMS!$A$6:$CQ$92,12,)&lt;&gt;0,HLOOKUP(O$6,CHARMS!$A$6:$CQ$92,12,),"")</f>
        <v/>
      </c>
      <c r="P21" s="111" t="str">
        <f>IF(HLOOKUP(P$6,CHARMS!$A$6:$CQ$92,12,)&lt;&gt;0,HLOOKUP(P$6,CHARMS!$A$6:$CQ$92,12,),"")</f>
        <v/>
      </c>
      <c r="Q21" s="111" t="str">
        <f>IF(HLOOKUP(Q$6,CHARMS!$A$6:$CQ$92,12,)&lt;&gt;0,HLOOKUP(Q$6,CHARMS!$A$6:$CQ$92,12,),"")</f>
        <v/>
      </c>
      <c r="R21" s="111" t="str">
        <f>IF(HLOOKUP(R$6,CHARMS!$A$6:$CQ$92,12,)&lt;&gt;0,HLOOKUP(R$6,CHARMS!$A$6:$CQ$92,12,),"")</f>
        <v/>
      </c>
      <c r="S21" s="111" t="str">
        <f>IF(HLOOKUP(S$6,CHARMS!$A$6:$CQ$92,12,)&lt;&gt;0,HLOOKUP(S$6,CHARMS!$A$6:$CQ$92,12,),"")</f>
        <v/>
      </c>
      <c r="T21" s="111" t="str">
        <f>IF(HLOOKUP(T$6,CHARMS!$A$6:$CQ$92,12,)&lt;&gt;0,HLOOKUP(T$6,CHARMS!$A$6:$CQ$92,12,),"")</f>
        <v/>
      </c>
      <c r="U21" s="111" t="str">
        <f>IF(HLOOKUP(U$6,CHARMS!$A$6:$CQ$92,12,)&lt;&gt;0,HLOOKUP(U$6,CHARMS!$A$6:$CQ$92,12,),"")</f>
        <v/>
      </c>
      <c r="V21" s="111" t="str">
        <f>IF(HLOOKUP(V$6,CHARMS!$A$6:$CQ$92,12,)&lt;&gt;0,HLOOKUP(V$6,CHARMS!$A$6:$CQ$92,12,),"")</f>
        <v/>
      </c>
      <c r="W21" s="111" t="str">
        <f>IF(HLOOKUP(W$6,CHARMS!$A$6:$CQ$92,12,)&lt;&gt;0,HLOOKUP(W$6,CHARMS!$A$6:$CQ$92,12,),"")</f>
        <v/>
      </c>
      <c r="X21" s="111" t="str">
        <f>IF(HLOOKUP(X$6,CHARMS!$A$6:$CQ$92,12,)&lt;&gt;0,HLOOKUP(X$6,CHARMS!$A$6:$CQ$92,12,),"")</f>
        <v/>
      </c>
      <c r="Y21" s="111" t="str">
        <f>IF(HLOOKUP(Y$6,CHARMS!$A$6:$CQ$92,12,)&lt;&gt;0,HLOOKUP(Y$6,CHARMS!$A$6:$CQ$92,12,),"")</f>
        <v/>
      </c>
      <c r="Z21" s="111" t="str">
        <f>IF(HLOOKUP(Z$6,CHARMS!$A$6:$CQ$92,12,)&lt;&gt;0,HLOOKUP(Z$6,CHARMS!$A$6:$CQ$92,12,),"")</f>
        <v/>
      </c>
      <c r="AA21" s="111" t="str">
        <f>IF(HLOOKUP(AA$6,CHARMS!$A$6:$CQ$92,12,)&lt;&gt;0,HLOOKUP(AA$6,CHARMS!$A$6:$CQ$92,12,),"")</f>
        <v/>
      </c>
      <c r="AB21" s="111" t="str">
        <f>IF(HLOOKUP(AB$6,CHARMS!$A$6:$CQ$92,12,)&lt;&gt;0,HLOOKUP(AB$6,CHARMS!$A$6:$CQ$92,12,),"")</f>
        <v/>
      </c>
      <c r="AC21" s="111" t="str">
        <f>IF(HLOOKUP(AC$6,CHARMS!$A$6:$CQ$92,12,)&lt;&gt;0,HLOOKUP(AC$6,CHARMS!$A$6:$CQ$92,12,),"")</f>
        <v/>
      </c>
      <c r="AD21" s="111" t="str">
        <f>IF(HLOOKUP(AD$6,CHARMS!$A$6:$CQ$92,12,)&lt;&gt;0,HLOOKUP(AD$6,CHARMS!$A$6:$CQ$92,12,),"")</f>
        <v/>
      </c>
      <c r="AE21" s="111" t="str">
        <f>IF(HLOOKUP(AE$6,CHARMS!$A$6:$CQ$92,12,)&lt;&gt;0,HLOOKUP(AE$6,CHARMS!$A$6:$CQ$92,12,),"")</f>
        <v/>
      </c>
    </row>
    <row r="22" spans="1:31" s="83" customFormat="1" ht="15" customHeight="1" x14ac:dyDescent="0.25">
      <c r="A22" s="110" t="s">
        <v>309</v>
      </c>
      <c r="B22" s="111" t="str">
        <f>IF(HLOOKUP(B$6,CHARMS!$A$6:$CQ$92,13,)&lt;&gt;0,HLOOKUP(B$6,CHARMS!$A$6:$CQ$92,13,),"")</f>
        <v>Cardiac surgery centers</v>
      </c>
      <c r="C22" s="111" t="str">
        <f>IF(HLOOKUP(C$6,CHARMS!$A$6:$CQ$92,13,)&lt;&gt;0,HLOOKUP(C$6,CHARMS!$A$6:$CQ$92,13,),"")</f>
        <v>Cardiac surgery center</v>
      </c>
      <c r="D22" s="111" t="str">
        <f>IF(HLOOKUP(D$6,CHARMS!$A$6:$CQ$92,13,)&lt;&gt;0,HLOOKUP(D$6,CHARMS!$A$6:$CQ$92,13,),"")</f>
        <v>Cardiac surgery centers</v>
      </c>
      <c r="E22" s="111" t="str">
        <f>IF(HLOOKUP(E$6,CHARMS!$A$6:$CQ$92,13,)&lt;&gt;0,HLOOKUP(E$6,CHARMS!$A$6:$CQ$92,13,),"")</f>
        <v>Cardiac surgery center</v>
      </c>
      <c r="F22" s="111" t="str">
        <f>IF(HLOOKUP(F$6,CHARMS!$A$6:$CQ$92,13,)&lt;&gt;0,HLOOKUP(F$6,CHARMS!$A$6:$CQ$92,13,),"")</f>
        <v>Cardiac surgery centers</v>
      </c>
      <c r="G22" s="111" t="str">
        <f>IF(HLOOKUP(G$6,CHARMS!$A$6:$CQ$92,13,)&lt;&gt;0,HLOOKUP(G$6,CHARMS!$A$6:$CQ$92,13,),"")</f>
        <v>Cardiac surgery centers</v>
      </c>
      <c r="H22" s="111" t="str">
        <f>IF(HLOOKUP(H$6,CHARMS!$A$6:$CQ$92,13,)&lt;&gt;0,HLOOKUP(H$6,CHARMS!$A$6:$CQ$92,13,),"")</f>
        <v>Cardiac surgery centers</v>
      </c>
      <c r="I22" s="111" t="str">
        <f>IF(HLOOKUP(I$6,CHARMS!$A$6:$CQ$92,13,)&lt;&gt;0,HLOOKUP(I$6,CHARMS!$A$6:$CQ$92,13,),"")</f>
        <v>Cardiac surgery center</v>
      </c>
      <c r="J22" s="111" t="str">
        <f>IF(HLOOKUP(J$6,CHARMS!$A$6:$CQ$92,13,)&lt;&gt;0,HLOOKUP(J$6,CHARMS!$A$6:$CQ$92,13,),"")</f>
        <v>Cardiac surgery centers</v>
      </c>
      <c r="K22" s="111" t="str">
        <f>IF(HLOOKUP(K$6,CHARMS!$A$6:$CQ$92,13,)&lt;&gt;0,HLOOKUP(K$6,CHARMS!$A$6:$CQ$92,13,),"")</f>
        <v>Cardiac surgery centers</v>
      </c>
      <c r="L22" s="111" t="str">
        <f>IF(HLOOKUP(L$6,CHARMS!$A$6:$CQ$92,13,)&lt;&gt;0,HLOOKUP(L$6,CHARMS!$A$6:$CQ$92,13,),"")</f>
        <v>Cardiac surgery centers</v>
      </c>
      <c r="M22" s="111" t="str">
        <f>IF(HLOOKUP(M$6,CHARMS!$A$6:$CQ$92,13,)&lt;&gt;0,HLOOKUP(M$6,CHARMS!$A$6:$CQ$92,13,),"")</f>
        <v/>
      </c>
      <c r="N22" s="111" t="str">
        <f>IF(HLOOKUP(N$6,CHARMS!$A$6:$CQ$92,13,)&lt;&gt;0,HLOOKUP(N$6,CHARMS!$A$6:$CQ$92,13,),"")</f>
        <v/>
      </c>
      <c r="O22" s="111" t="str">
        <f>IF(HLOOKUP(O$6,CHARMS!$A$6:$CQ$92,13,)&lt;&gt;0,HLOOKUP(O$6,CHARMS!$A$6:$CQ$92,13,),"")</f>
        <v/>
      </c>
      <c r="P22" s="111" t="str">
        <f>IF(HLOOKUP(P$6,CHARMS!$A$6:$CQ$92,13,)&lt;&gt;0,HLOOKUP(P$6,CHARMS!$A$6:$CQ$92,13,),"")</f>
        <v/>
      </c>
      <c r="Q22" s="111" t="str">
        <f>IF(HLOOKUP(Q$6,CHARMS!$A$6:$CQ$92,13,)&lt;&gt;0,HLOOKUP(Q$6,CHARMS!$A$6:$CQ$92,13,),"")</f>
        <v/>
      </c>
      <c r="R22" s="111" t="str">
        <f>IF(HLOOKUP(R$6,CHARMS!$A$6:$CQ$92,13,)&lt;&gt;0,HLOOKUP(R$6,CHARMS!$A$6:$CQ$92,13,),"")</f>
        <v/>
      </c>
      <c r="S22" s="111" t="str">
        <f>IF(HLOOKUP(S$6,CHARMS!$A$6:$CQ$92,13,)&lt;&gt;0,HLOOKUP(S$6,CHARMS!$A$6:$CQ$92,13,),"")</f>
        <v/>
      </c>
      <c r="T22" s="111" t="str">
        <f>IF(HLOOKUP(T$6,CHARMS!$A$6:$CQ$92,13,)&lt;&gt;0,HLOOKUP(T$6,CHARMS!$A$6:$CQ$92,13,),"")</f>
        <v/>
      </c>
      <c r="U22" s="111" t="str">
        <f>IF(HLOOKUP(U$6,CHARMS!$A$6:$CQ$92,13,)&lt;&gt;0,HLOOKUP(U$6,CHARMS!$A$6:$CQ$92,13,),"")</f>
        <v/>
      </c>
      <c r="V22" s="111" t="str">
        <f>IF(HLOOKUP(V$6,CHARMS!$A$6:$CQ$92,13,)&lt;&gt;0,HLOOKUP(V$6,CHARMS!$A$6:$CQ$92,13,),"")</f>
        <v/>
      </c>
      <c r="W22" s="111" t="str">
        <f>IF(HLOOKUP(W$6,CHARMS!$A$6:$CQ$92,13,)&lt;&gt;0,HLOOKUP(W$6,CHARMS!$A$6:$CQ$92,13,),"")</f>
        <v/>
      </c>
      <c r="X22" s="111" t="str">
        <f>IF(HLOOKUP(X$6,CHARMS!$A$6:$CQ$92,13,)&lt;&gt;0,HLOOKUP(X$6,CHARMS!$A$6:$CQ$92,13,),"")</f>
        <v/>
      </c>
      <c r="Y22" s="111" t="str">
        <f>IF(HLOOKUP(Y$6,CHARMS!$A$6:$CQ$92,13,)&lt;&gt;0,HLOOKUP(Y$6,CHARMS!$A$6:$CQ$92,13,),"")</f>
        <v/>
      </c>
      <c r="Z22" s="111" t="str">
        <f>IF(HLOOKUP(Z$6,CHARMS!$A$6:$CQ$92,13,)&lt;&gt;0,HLOOKUP(Z$6,CHARMS!$A$6:$CQ$92,13,),"")</f>
        <v/>
      </c>
      <c r="AA22" s="111" t="str">
        <f>IF(HLOOKUP(AA$6,CHARMS!$A$6:$CQ$92,13,)&lt;&gt;0,HLOOKUP(AA$6,CHARMS!$A$6:$CQ$92,13,),"")</f>
        <v/>
      </c>
      <c r="AB22" s="111" t="str">
        <f>IF(HLOOKUP(AB$6,CHARMS!$A$6:$CQ$92,13,)&lt;&gt;0,HLOOKUP(AB$6,CHARMS!$A$6:$CQ$92,13,),"")</f>
        <v/>
      </c>
      <c r="AC22" s="111" t="str">
        <f>IF(HLOOKUP(AC$6,CHARMS!$A$6:$CQ$92,13,)&lt;&gt;0,HLOOKUP(AC$6,CHARMS!$A$6:$CQ$92,13,),"")</f>
        <v/>
      </c>
      <c r="AD22" s="111" t="str">
        <f>IF(HLOOKUP(AD$6,CHARMS!$A$6:$CQ$92,13,)&lt;&gt;0,HLOOKUP(AD$6,CHARMS!$A$6:$CQ$92,13,),"")</f>
        <v/>
      </c>
      <c r="AE22" s="111" t="str">
        <f>IF(HLOOKUP(AE$6,CHARMS!$A$6:$CQ$92,13,)&lt;&gt;0,HLOOKUP(AE$6,CHARMS!$A$6:$CQ$92,13,),"")</f>
        <v/>
      </c>
    </row>
    <row r="23" spans="1:31" s="83" customFormat="1" ht="48.75" customHeight="1" x14ac:dyDescent="0.25">
      <c r="A23" s="110" t="s">
        <v>310</v>
      </c>
      <c r="B23" s="111" t="str">
        <f>IF(HLOOKUP(B$6,CHARMS!$A$6:$CQ$92,16,)&lt;&gt;0,HLOOKUP(B$6,CHARMS!$A$6:$CQ$92,16,),"")</f>
        <v>All patients with the diagnosis of IE who underwent surgery on the aortic, mitral, and/or tricuspid valves.</v>
      </c>
      <c r="C23" s="111" t="str">
        <f>IF(HLOOKUP(C$6,CHARMS!$A$6:$CQ$92,16,)&lt;&gt;0,HLOOKUP(C$6,CHARMS!$A$6:$CQ$92,16,),"")</f>
        <v>Infective Endocarditis of native valves</v>
      </c>
      <c r="D23" s="111" t="str">
        <f>IF(HLOOKUP(D$6,CHARMS!$A$6:$CQ$92,16,)&lt;&gt;0,HLOOKUP(D$6,CHARMS!$A$6:$CQ$92,16,),"")</f>
        <v>Patients with definite or possible IE who underwent surgery.</v>
      </c>
      <c r="E23" s="111" t="str">
        <f>IF(HLOOKUP(E$6,CHARMS!$A$6:$CQ$92,16,)&lt;&gt;0,HLOOKUP(E$6,CHARMS!$A$6:$CQ$92,16,),"")</f>
        <v>Patients underwent cardiac surgery under extracorporeal circulation for active IE (according to modified Duke criteria).</v>
      </c>
      <c r="F23" s="111" t="str">
        <f>IF(HLOOKUP(F$6,CHARMS!$A$6:$CQ$92,16,)&lt;&gt;0,HLOOKUP(F$6,CHARMS!$A$6:$CQ$92,16,),"")</f>
        <v>Patients who underwent surgery for IE defined by the modified Duke criteria</v>
      </c>
      <c r="G23" s="111" t="str">
        <f>IF(HLOOKUP(G$6,CHARMS!$A$6:$CQ$92,16,)&lt;&gt;0,HLOOKUP(G$6,CHARMS!$A$6:$CQ$92,16,),"")</f>
        <v>Patients who underwent surgery for IE defined by the modified Duke criteria</v>
      </c>
      <c r="H23" s="111" t="str">
        <f>IF(HLOOKUP(H$6,CHARMS!$A$6:$CQ$92,16,)&lt;&gt;0,HLOOKUP(H$6,CHARMS!$A$6:$CQ$92,16,),"")</f>
        <v>Patients with native valve endocarditis (NVE) or prosthesis valve endocarditis (PVE) operated.</v>
      </c>
      <c r="I23" s="111" t="str">
        <f>IF(HLOOKUP(I$6,CHARMS!$A$6:$CQ$92,16,)&lt;&gt;0,HLOOKUP(I$6,CHARMS!$A$6:$CQ$92,16,),"")</f>
        <v>Patients who underwent surgery for IE defined by the modified Duke criteria.</v>
      </c>
      <c r="J23" s="111" t="str">
        <f>IF(HLOOKUP(J$6,CHARMS!$A$6:$CQ$92,16,)&lt;&gt;0,HLOOKUP(J$6,CHARMS!$A$6:$CQ$92,16,),"")</f>
        <v>Patients with definite, left-sided IE in the active phase of the disease who underwent surgery.</v>
      </c>
      <c r="K23" s="111" t="str">
        <f>IF(HLOOKUP(K$6,CHARMS!$A$6:$CQ$92,16,)&lt;&gt;0,HLOOKUP(K$6,CHARMS!$A$6:$CQ$92,16,),"")</f>
        <v>Patients who requiring cardiac surgery during the active phase of infection (while on antimicrobial therapy).</v>
      </c>
      <c r="L23" s="111" t="str">
        <f>IF(HLOOKUP(L$6,CHARMS!$A$6:$CQ$92,16,)&lt;&gt;0,HLOOKUP(L$6,CHARMS!$A$6:$CQ$92,16,),"")</f>
        <v>Patients who requiring cardiac surgery during the active phase of infection (while on antimicrobial therapy).</v>
      </c>
      <c r="M23" s="111" t="str">
        <f>IF(HLOOKUP(M$6,CHARMS!$A$6:$CQ$92,16,)&lt;&gt;0,HLOOKUP(M$6,CHARMS!$A$6:$CQ$92,16,),"")</f>
        <v/>
      </c>
      <c r="N23" s="111" t="str">
        <f>IF(HLOOKUP(N$6,CHARMS!$A$6:$CQ$92,16,)&lt;&gt;0,HLOOKUP(N$6,CHARMS!$A$6:$CQ$92,16,),"")</f>
        <v/>
      </c>
      <c r="O23" s="111" t="str">
        <f>IF(HLOOKUP(O$6,CHARMS!$A$6:$CQ$92,16,)&lt;&gt;0,HLOOKUP(O$6,CHARMS!$A$6:$CQ$92,16,),"")</f>
        <v/>
      </c>
      <c r="P23" s="111" t="str">
        <f>IF(HLOOKUP(P$6,CHARMS!$A$6:$CQ$92,16,)&lt;&gt;0,HLOOKUP(P$6,CHARMS!$A$6:$CQ$92,16,),"")</f>
        <v/>
      </c>
      <c r="Q23" s="111" t="str">
        <f>IF(HLOOKUP(Q$6,CHARMS!$A$6:$CQ$92,16,)&lt;&gt;0,HLOOKUP(Q$6,CHARMS!$A$6:$CQ$92,16,),"")</f>
        <v/>
      </c>
      <c r="R23" s="111" t="str">
        <f>IF(HLOOKUP(R$6,CHARMS!$A$6:$CQ$92,16,)&lt;&gt;0,HLOOKUP(R$6,CHARMS!$A$6:$CQ$92,16,),"")</f>
        <v/>
      </c>
      <c r="S23" s="111" t="str">
        <f>IF(HLOOKUP(S$6,CHARMS!$A$6:$CQ$92,16,)&lt;&gt;0,HLOOKUP(S$6,CHARMS!$A$6:$CQ$92,16,),"")</f>
        <v/>
      </c>
      <c r="T23" s="111" t="str">
        <f>IF(HLOOKUP(T$6,CHARMS!$A$6:$CQ$92,16,)&lt;&gt;0,HLOOKUP(T$6,CHARMS!$A$6:$CQ$92,16,),"")</f>
        <v/>
      </c>
      <c r="U23" s="111" t="str">
        <f>IF(HLOOKUP(U$6,CHARMS!$A$6:$CQ$92,16,)&lt;&gt;0,HLOOKUP(U$6,CHARMS!$A$6:$CQ$92,16,),"")</f>
        <v/>
      </c>
      <c r="V23" s="111" t="str">
        <f>IF(HLOOKUP(V$6,CHARMS!$A$6:$CQ$92,16,)&lt;&gt;0,HLOOKUP(V$6,CHARMS!$A$6:$CQ$92,16,),"")</f>
        <v/>
      </c>
      <c r="W23" s="111" t="str">
        <f>IF(HLOOKUP(W$6,CHARMS!$A$6:$CQ$92,16,)&lt;&gt;0,HLOOKUP(W$6,CHARMS!$A$6:$CQ$92,16,),"")</f>
        <v/>
      </c>
      <c r="X23" s="111" t="str">
        <f>IF(HLOOKUP(X$6,CHARMS!$A$6:$CQ$92,16,)&lt;&gt;0,HLOOKUP(X$6,CHARMS!$A$6:$CQ$92,16,),"")</f>
        <v/>
      </c>
      <c r="Y23" s="111" t="str">
        <f>IF(HLOOKUP(Y$6,CHARMS!$A$6:$CQ$92,16,)&lt;&gt;0,HLOOKUP(Y$6,CHARMS!$A$6:$CQ$92,16,),"")</f>
        <v/>
      </c>
      <c r="Z23" s="111" t="str">
        <f>IF(HLOOKUP(Z$6,CHARMS!$A$6:$CQ$92,16,)&lt;&gt;0,HLOOKUP(Z$6,CHARMS!$A$6:$CQ$92,16,),"")</f>
        <v/>
      </c>
      <c r="AA23" s="111" t="str">
        <f>IF(HLOOKUP(AA$6,CHARMS!$A$6:$CQ$92,16,)&lt;&gt;0,HLOOKUP(AA$6,CHARMS!$A$6:$CQ$92,16,),"")</f>
        <v/>
      </c>
      <c r="AB23" s="111" t="str">
        <f>IF(HLOOKUP(AB$6,CHARMS!$A$6:$CQ$92,16,)&lt;&gt;0,HLOOKUP(AB$6,CHARMS!$A$6:$CQ$92,16,),"")</f>
        <v/>
      </c>
      <c r="AC23" s="111" t="str">
        <f>IF(HLOOKUP(AC$6,CHARMS!$A$6:$CQ$92,16,)&lt;&gt;0,HLOOKUP(AC$6,CHARMS!$A$6:$CQ$92,16,),"")</f>
        <v/>
      </c>
      <c r="AD23" s="111" t="str">
        <f>IF(HLOOKUP(AD$6,CHARMS!$A$6:$CQ$92,16,)&lt;&gt;0,HLOOKUP(AD$6,CHARMS!$A$6:$CQ$92,16,),"")</f>
        <v/>
      </c>
      <c r="AE23" s="111" t="str">
        <f>IF(HLOOKUP(AE$6,CHARMS!$A$6:$CQ$92,16,)&lt;&gt;0,HLOOKUP(AE$6,CHARMS!$A$6:$CQ$92,16,),"")</f>
        <v/>
      </c>
    </row>
    <row r="24" spans="1:31" s="83" customFormat="1" ht="48.75" customHeight="1" x14ac:dyDescent="0.25">
      <c r="A24" s="112" t="s">
        <v>311</v>
      </c>
      <c r="B24" s="113" t="str">
        <f>IF(HLOOKUP(B$6,CHARMS!$A$6:$CQ$92,17,)&lt;&gt;0,HLOOKUP(B$6,CHARMS!$A$6:$CQ$92,17,),"")</f>
        <v>Sites were excluded if data were missing on age, gender, status of surgery, cardiogenic shock , and endocarditis type. And if more than 20% of patients had no complication information reported.</v>
      </c>
      <c r="C24" s="113" t="str">
        <f>IF(HLOOKUP(C$6,CHARMS!$A$6:$CQ$92,17,)&lt;&gt;0,HLOOKUP(C$6,CHARMS!$A$6:$CQ$92,17,),"")</f>
        <v>Infective Endocarditis of prosthetic valves</v>
      </c>
      <c r="D24" s="113" t="str">
        <f>IF(HLOOKUP(D$6,CHARMS!$A$6:$CQ$92,17,)&lt;&gt;0,HLOOKUP(D$6,CHARMS!$A$6:$CQ$92,17,),"")</f>
        <v>No information</v>
      </c>
      <c r="E24" s="113" t="str">
        <f>IF(HLOOKUP(E$6,CHARMS!$A$6:$CQ$92,17,)&lt;&gt;0,HLOOKUP(E$6,CHARMS!$A$6:$CQ$92,17,),"")</f>
        <v>No information</v>
      </c>
      <c r="F24" s="113" t="str">
        <f>IF(HLOOKUP(F$6,CHARMS!$A$6:$CQ$92,17,)&lt;&gt;0,HLOOKUP(F$6,CHARMS!$A$6:$CQ$92,17,),"")</f>
        <v>No information</v>
      </c>
      <c r="G24" s="113" t="str">
        <f>IF(HLOOKUP(G$6,CHARMS!$A$6:$CQ$92,17,)&lt;&gt;0,HLOOKUP(G$6,CHARMS!$A$6:$CQ$92,17,),"")</f>
        <v>No information</v>
      </c>
      <c r="H24" s="113" t="str">
        <f>IF(HLOOKUP(H$6,CHARMS!$A$6:$CQ$92,17,)&lt;&gt;0,HLOOKUP(H$6,CHARMS!$A$6:$CQ$92,17,),"")</f>
        <v>No information</v>
      </c>
      <c r="I24" s="113" t="str">
        <f>IF(HLOOKUP(I$6,CHARMS!$A$6:$CQ$92,17,)&lt;&gt;0,HLOOKUP(I$6,CHARMS!$A$6:$CQ$92,17,),"")</f>
        <v>No information</v>
      </c>
      <c r="J24" s="113" t="str">
        <f>IF(HLOOKUP(J$6,CHARMS!$A$6:$CQ$92,17,)&lt;&gt;0,HLOOKUP(J$6,CHARMS!$A$6:$CQ$92,17,),"")</f>
        <v>Patients with right-sided IE, left-sided IE without surgical indications and those with a surgical indication that were not surgical candidates.</v>
      </c>
      <c r="K24" s="113" t="str">
        <f>IF(HLOOKUP(K$6,CHARMS!$A$6:$CQ$92,17,)&lt;&gt;0,HLOOKUP(K$6,CHARMS!$A$6:$CQ$92,17,),"")</f>
        <v>IE cases exclusively involving pacemaker leads were not considered. Only the first episode of IE recorded for an individual patient was used.</v>
      </c>
      <c r="L24" s="113" t="str">
        <f>IF(HLOOKUP(L$6,CHARMS!$A$6:$CQ$92,17,)&lt;&gt;0,HLOOKUP(L$6,CHARMS!$A$6:$CQ$92,17,),"")</f>
        <v>IE cases exclusively involving pacemaker leads were not considered. Only the first episode of IE recorded for an individual patient was used.</v>
      </c>
      <c r="M24" s="113" t="str">
        <f>IF(HLOOKUP(M$6,CHARMS!$A$6:$CQ$92,17,)&lt;&gt;0,HLOOKUP(M$6,CHARMS!$A$6:$CQ$92,17,),"")</f>
        <v/>
      </c>
      <c r="N24" s="113" t="str">
        <f>IF(HLOOKUP(N$6,CHARMS!$A$6:$CQ$92,17,)&lt;&gt;0,HLOOKUP(N$6,CHARMS!$A$6:$CQ$92,17,),"")</f>
        <v/>
      </c>
      <c r="O24" s="113" t="str">
        <f>IF(HLOOKUP(O$6,CHARMS!$A$6:$CQ$92,17,)&lt;&gt;0,HLOOKUP(O$6,CHARMS!$A$6:$CQ$92,17,),"")</f>
        <v/>
      </c>
      <c r="P24" s="113" t="str">
        <f>IF(HLOOKUP(P$6,CHARMS!$A$6:$CQ$92,17,)&lt;&gt;0,HLOOKUP(P$6,CHARMS!$A$6:$CQ$92,17,),"")</f>
        <v/>
      </c>
      <c r="Q24" s="113" t="str">
        <f>IF(HLOOKUP(Q$6,CHARMS!$A$6:$CQ$92,17,)&lt;&gt;0,HLOOKUP(Q$6,CHARMS!$A$6:$CQ$92,17,),"")</f>
        <v/>
      </c>
      <c r="R24" s="113" t="str">
        <f>IF(HLOOKUP(R$6,CHARMS!$A$6:$CQ$92,17,)&lt;&gt;0,HLOOKUP(R$6,CHARMS!$A$6:$CQ$92,17,),"")</f>
        <v/>
      </c>
      <c r="S24" s="113" t="str">
        <f>IF(HLOOKUP(S$6,CHARMS!$A$6:$CQ$92,17,)&lt;&gt;0,HLOOKUP(S$6,CHARMS!$A$6:$CQ$92,17,),"")</f>
        <v/>
      </c>
      <c r="T24" s="113" t="str">
        <f>IF(HLOOKUP(T$6,CHARMS!$A$6:$CQ$92,17,)&lt;&gt;0,HLOOKUP(T$6,CHARMS!$A$6:$CQ$92,17,),"")</f>
        <v/>
      </c>
      <c r="U24" s="113" t="str">
        <f>IF(HLOOKUP(U$6,CHARMS!$A$6:$CQ$92,17,)&lt;&gt;0,HLOOKUP(U$6,CHARMS!$A$6:$CQ$92,17,),"")</f>
        <v/>
      </c>
      <c r="V24" s="113" t="str">
        <f>IF(HLOOKUP(V$6,CHARMS!$A$6:$CQ$92,17,)&lt;&gt;0,HLOOKUP(V$6,CHARMS!$A$6:$CQ$92,17,),"")</f>
        <v/>
      </c>
      <c r="W24" s="113" t="str">
        <f>IF(HLOOKUP(W$6,CHARMS!$A$6:$CQ$92,17,)&lt;&gt;0,HLOOKUP(W$6,CHARMS!$A$6:$CQ$92,17,),"")</f>
        <v/>
      </c>
      <c r="X24" s="113" t="str">
        <f>IF(HLOOKUP(X$6,CHARMS!$A$6:$CQ$92,17,)&lt;&gt;0,HLOOKUP(X$6,CHARMS!$A$6:$CQ$92,17,),"")</f>
        <v/>
      </c>
      <c r="Y24" s="113" t="str">
        <f>IF(HLOOKUP(Y$6,CHARMS!$A$6:$CQ$92,17,)&lt;&gt;0,HLOOKUP(Y$6,CHARMS!$A$6:$CQ$92,17,),"")</f>
        <v/>
      </c>
      <c r="Z24" s="113" t="str">
        <f>IF(HLOOKUP(Z$6,CHARMS!$A$6:$CQ$92,17,)&lt;&gt;0,HLOOKUP(Z$6,CHARMS!$A$6:$CQ$92,17,),"")</f>
        <v/>
      </c>
      <c r="AA24" s="113" t="str">
        <f>IF(HLOOKUP(AA$6,CHARMS!$A$6:$CQ$92,17,)&lt;&gt;0,HLOOKUP(AA$6,CHARMS!$A$6:$CQ$92,17,),"")</f>
        <v/>
      </c>
      <c r="AB24" s="113" t="str">
        <f>IF(HLOOKUP(AB$6,CHARMS!$A$6:$CQ$92,17,)&lt;&gt;0,HLOOKUP(AB$6,CHARMS!$A$6:$CQ$92,17,),"")</f>
        <v/>
      </c>
      <c r="AC24" s="113" t="str">
        <f>IF(HLOOKUP(AC$6,CHARMS!$A$6:$CQ$92,17,)&lt;&gt;0,HLOOKUP(AC$6,CHARMS!$A$6:$CQ$92,17,),"")</f>
        <v/>
      </c>
      <c r="AD24" s="113" t="str">
        <f>IF(HLOOKUP(AD$6,CHARMS!$A$6:$CQ$92,17,)&lt;&gt;0,HLOOKUP(AD$6,CHARMS!$A$6:$CQ$92,17,),"")</f>
        <v/>
      </c>
      <c r="AE24" s="113" t="str">
        <f>IF(HLOOKUP(AE$6,CHARMS!$A$6:$CQ$92,17,)&lt;&gt;0,HLOOKUP(AE$6,CHARMS!$A$6:$CQ$92,17,),"")</f>
        <v/>
      </c>
    </row>
    <row r="25" spans="1:31" s="83" customFormat="1" ht="75" customHeight="1" x14ac:dyDescent="0.25">
      <c r="A25" s="114" t="s">
        <v>312</v>
      </c>
      <c r="B25" s="29" t="s">
        <v>313</v>
      </c>
      <c r="C25" s="29" t="s">
        <v>314</v>
      </c>
      <c r="D25" s="29"/>
      <c r="E25" s="29" t="s">
        <v>315</v>
      </c>
      <c r="F25" s="29" t="s">
        <v>316</v>
      </c>
      <c r="G25" s="29" t="s">
        <v>316</v>
      </c>
      <c r="H25" s="29" t="s">
        <v>315</v>
      </c>
      <c r="I25" s="29"/>
      <c r="J25" s="29"/>
      <c r="K25" s="29"/>
      <c r="L25" s="29"/>
      <c r="M25" s="29"/>
      <c r="N25" s="29"/>
      <c r="O25" s="29"/>
      <c r="P25" s="29"/>
      <c r="Q25" s="29"/>
      <c r="R25" s="29"/>
      <c r="S25" s="29"/>
      <c r="T25" s="29"/>
      <c r="U25" s="29"/>
      <c r="V25" s="29"/>
      <c r="W25" s="29"/>
      <c r="X25" s="29"/>
      <c r="Y25" s="29"/>
      <c r="Z25" s="29"/>
      <c r="AA25" s="29"/>
      <c r="AB25" s="29"/>
      <c r="AC25" s="29"/>
      <c r="AD25" s="29"/>
      <c r="AE25" s="29"/>
    </row>
    <row r="26" spans="1:31" ht="18.75" customHeight="1" x14ac:dyDescent="0.25">
      <c r="A26" s="94" t="s">
        <v>317</v>
      </c>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row>
    <row r="27" spans="1:31" s="104" customFormat="1" ht="15" customHeight="1" x14ac:dyDescent="0.25">
      <c r="A27" s="103" t="s">
        <v>318</v>
      </c>
      <c r="B27" s="27" t="s">
        <v>168</v>
      </c>
      <c r="C27" s="27" t="s">
        <v>168</v>
      </c>
      <c r="D27" s="27" t="s">
        <v>168</v>
      </c>
      <c r="E27" s="27" t="s">
        <v>168</v>
      </c>
      <c r="F27" s="27" t="s">
        <v>295</v>
      </c>
      <c r="G27" s="27" t="s">
        <v>295</v>
      </c>
      <c r="H27" s="27" t="s">
        <v>168</v>
      </c>
      <c r="I27" s="27" t="s">
        <v>168</v>
      </c>
      <c r="J27" s="27" t="s">
        <v>168</v>
      </c>
      <c r="K27" s="27" t="s">
        <v>173</v>
      </c>
      <c r="L27" s="27" t="s">
        <v>173</v>
      </c>
      <c r="M27" s="27"/>
      <c r="N27" s="27"/>
      <c r="O27" s="27"/>
      <c r="P27" s="27"/>
      <c r="Q27" s="27"/>
      <c r="R27" s="27"/>
      <c r="S27" s="27"/>
      <c r="T27" s="27"/>
      <c r="U27" s="27"/>
      <c r="V27" s="27"/>
      <c r="W27" s="27"/>
      <c r="X27" s="27"/>
      <c r="Y27" s="27"/>
      <c r="Z27" s="27"/>
      <c r="AA27" s="27"/>
      <c r="AB27" s="27"/>
      <c r="AC27" s="27"/>
      <c r="AD27" s="27"/>
      <c r="AE27" s="27"/>
    </row>
    <row r="28" spans="1:31" s="104" customFormat="1" ht="15" customHeight="1" x14ac:dyDescent="0.25">
      <c r="A28" s="115" t="s">
        <v>319</v>
      </c>
      <c r="B28" s="30" t="s">
        <v>298</v>
      </c>
      <c r="C28" s="30" t="s">
        <v>298</v>
      </c>
      <c r="D28" s="30" t="s">
        <v>298</v>
      </c>
      <c r="E28" s="30" t="s">
        <v>298</v>
      </c>
      <c r="F28" s="30" t="s">
        <v>298</v>
      </c>
      <c r="G28" s="30" t="s">
        <v>298</v>
      </c>
      <c r="H28" s="30" t="s">
        <v>298</v>
      </c>
      <c r="I28" s="30" t="s">
        <v>298</v>
      </c>
      <c r="J28" s="30" t="s">
        <v>298</v>
      </c>
      <c r="K28" s="30" t="s">
        <v>298</v>
      </c>
      <c r="L28" s="30" t="s">
        <v>298</v>
      </c>
      <c r="M28" s="30"/>
      <c r="N28" s="30"/>
      <c r="O28" s="30"/>
      <c r="P28" s="30"/>
      <c r="Q28" s="30"/>
      <c r="R28" s="30"/>
      <c r="S28" s="30"/>
      <c r="T28" s="30"/>
      <c r="U28" s="30"/>
      <c r="V28" s="30"/>
      <c r="W28" s="30"/>
      <c r="X28" s="30"/>
      <c r="Y28" s="30"/>
      <c r="Z28" s="30"/>
      <c r="AA28" s="30"/>
      <c r="AB28" s="30"/>
      <c r="AC28" s="30"/>
      <c r="AD28" s="30"/>
      <c r="AE28" s="30"/>
    </row>
    <row r="29" spans="1:31" s="104" customFormat="1" ht="15" customHeight="1" x14ac:dyDescent="0.25">
      <c r="A29" s="105" t="s">
        <v>320</v>
      </c>
      <c r="B29" s="28" t="s">
        <v>168</v>
      </c>
      <c r="C29" s="28" t="s">
        <v>168</v>
      </c>
      <c r="D29" s="28" t="s">
        <v>168</v>
      </c>
      <c r="E29" s="28" t="s">
        <v>168</v>
      </c>
      <c r="F29" s="28" t="s">
        <v>297</v>
      </c>
      <c r="G29" s="28" t="s">
        <v>168</v>
      </c>
      <c r="H29" s="28" t="s">
        <v>168</v>
      </c>
      <c r="I29" s="28" t="s">
        <v>168</v>
      </c>
      <c r="J29" s="28" t="s">
        <v>168</v>
      </c>
      <c r="K29" s="28" t="s">
        <v>168</v>
      </c>
      <c r="L29" s="28" t="s">
        <v>168</v>
      </c>
      <c r="M29" s="28"/>
      <c r="N29" s="28"/>
      <c r="O29" s="28"/>
      <c r="P29" s="28"/>
      <c r="Q29" s="28"/>
      <c r="R29" s="28"/>
      <c r="S29" s="28"/>
      <c r="T29" s="28"/>
      <c r="U29" s="28"/>
      <c r="V29" s="28"/>
      <c r="W29" s="28"/>
      <c r="X29" s="28"/>
      <c r="Y29" s="28"/>
      <c r="Z29" s="28"/>
      <c r="AA29" s="28"/>
      <c r="AB29" s="28"/>
      <c r="AC29" s="28"/>
      <c r="AD29" s="28"/>
      <c r="AE29" s="28"/>
    </row>
    <row r="30" spans="1:31" s="83" customFormat="1" ht="18.75" customHeight="1" x14ac:dyDescent="0.25">
      <c r="A30" s="106" t="s">
        <v>321</v>
      </c>
      <c r="B30" s="33" t="s">
        <v>301</v>
      </c>
      <c r="C30" s="33" t="s">
        <v>106</v>
      </c>
      <c r="D30" s="33" t="s">
        <v>301</v>
      </c>
      <c r="E30" s="33" t="s">
        <v>301</v>
      </c>
      <c r="F30" s="33" t="s">
        <v>301</v>
      </c>
      <c r="G30" s="33" t="s">
        <v>301</v>
      </c>
      <c r="H30" s="33" t="s">
        <v>301</v>
      </c>
      <c r="I30" s="33" t="s">
        <v>301</v>
      </c>
      <c r="J30" s="33" t="s">
        <v>301</v>
      </c>
      <c r="K30" s="33" t="s">
        <v>301</v>
      </c>
      <c r="L30" s="33" t="s">
        <v>301</v>
      </c>
      <c r="M30" s="33"/>
      <c r="N30" s="33"/>
      <c r="O30" s="33"/>
      <c r="P30" s="33"/>
      <c r="Q30" s="33"/>
      <c r="R30" s="33"/>
      <c r="S30" s="33"/>
      <c r="T30" s="33"/>
      <c r="U30" s="33"/>
      <c r="V30" s="33"/>
      <c r="W30" s="33"/>
      <c r="X30" s="33"/>
      <c r="Y30" s="33"/>
      <c r="Z30" s="33"/>
      <c r="AA30" s="33"/>
      <c r="AB30" s="33"/>
      <c r="AC30" s="33"/>
      <c r="AD30" s="33"/>
      <c r="AE30" s="33"/>
    </row>
    <row r="31" spans="1:31" s="83" customFormat="1" ht="18.75" customHeight="1" x14ac:dyDescent="0.25">
      <c r="A31" s="107" t="s">
        <v>302</v>
      </c>
      <c r="B31" s="34" t="s">
        <v>303</v>
      </c>
      <c r="C31" s="34" t="s">
        <v>303</v>
      </c>
      <c r="D31" s="34" t="s">
        <v>303</v>
      </c>
      <c r="E31" s="34" t="s">
        <v>303</v>
      </c>
      <c r="F31" s="34" t="s">
        <v>106</v>
      </c>
      <c r="G31" s="34" t="s">
        <v>303</v>
      </c>
      <c r="H31" s="34" t="s">
        <v>303</v>
      </c>
      <c r="I31" s="34" t="s">
        <v>303</v>
      </c>
      <c r="J31" s="34" t="s">
        <v>303</v>
      </c>
      <c r="K31" s="34" t="s">
        <v>106</v>
      </c>
      <c r="L31" s="34" t="s">
        <v>303</v>
      </c>
      <c r="M31" s="34"/>
      <c r="N31" s="34"/>
      <c r="O31" s="34"/>
      <c r="P31" s="34"/>
      <c r="Q31" s="34"/>
      <c r="R31" s="34"/>
      <c r="S31" s="34"/>
      <c r="T31" s="34"/>
      <c r="U31" s="34"/>
      <c r="V31" s="34"/>
      <c r="W31" s="34"/>
      <c r="X31" s="34"/>
      <c r="Y31" s="34"/>
      <c r="Z31" s="34"/>
      <c r="AA31" s="34"/>
      <c r="AB31" s="34"/>
      <c r="AC31" s="34"/>
      <c r="AD31" s="34"/>
      <c r="AE31" s="34"/>
    </row>
    <row r="32" spans="1:31" s="83" customFormat="1" ht="15" customHeight="1" x14ac:dyDescent="0.25">
      <c r="A32" s="108" t="s">
        <v>305</v>
      </c>
      <c r="B32" s="109"/>
      <c r="C32" s="109"/>
      <c r="D32" s="109"/>
      <c r="E32" s="109"/>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row>
    <row r="33" spans="1:31" s="83" customFormat="1" ht="15" customHeight="1" x14ac:dyDescent="0.25">
      <c r="A33" s="110" t="s">
        <v>322</v>
      </c>
      <c r="B33" s="111" t="str">
        <f>IF(HLOOKUP(B$6,CHARMS!$A$6:$CQ$92,36,)&lt;&gt;0,HLOOKUP(B$6,CHARMS!$A$6:$CQ$92,36,),"")</f>
        <v>Yes</v>
      </c>
      <c r="C33" s="111" t="str">
        <f>IF(HLOOKUP(C$6,CHARMS!$A$6:$CQ$92,36,)&lt;&gt;0,HLOOKUP(C$6,CHARMS!$A$6:$CQ$92,36,),"")</f>
        <v>Yes</v>
      </c>
      <c r="D33" s="111" t="str">
        <f>IF(HLOOKUP(D$6,CHARMS!$A$6:$CQ$92,36,)&lt;&gt;0,HLOOKUP(D$6,CHARMS!$A$6:$CQ$92,36,),"")</f>
        <v>Yes</v>
      </c>
      <c r="E33" s="111" t="str">
        <f>IF(HLOOKUP(E$6,CHARMS!$A$6:$CQ$92,36,)&lt;&gt;0,HLOOKUP(E$6,CHARMS!$A$6:$CQ$92,36,),"")</f>
        <v>Yes</v>
      </c>
      <c r="F33" s="111" t="str">
        <f>IF(HLOOKUP(F$6,CHARMS!$A$6:$CQ$92,36,)&lt;&gt;0,HLOOKUP(F$6,CHARMS!$A$6:$CQ$92,36,),"")</f>
        <v>Unclear</v>
      </c>
      <c r="G33" s="111" t="str">
        <f>IF(HLOOKUP(G$6,CHARMS!$A$6:$CQ$92,36,)&lt;&gt;0,HLOOKUP(G$6,CHARMS!$A$6:$CQ$92,36,),"")</f>
        <v>Unclear</v>
      </c>
      <c r="H33" s="111" t="str">
        <f>IF(HLOOKUP(H$6,CHARMS!$A$6:$CQ$92,36,)&lt;&gt;0,HLOOKUP(H$6,CHARMS!$A$6:$CQ$92,36,),"")</f>
        <v>Yes</v>
      </c>
      <c r="I33" s="111" t="str">
        <f>IF(HLOOKUP(I$6,CHARMS!$A$6:$CQ$92,36,)&lt;&gt;0,HLOOKUP(I$6,CHARMS!$A$6:$CQ$92,36,),"")</f>
        <v>Yes</v>
      </c>
      <c r="J33" s="111" t="str">
        <f>IF(HLOOKUP(J$6,CHARMS!$A$6:$CQ$92,36,)&lt;&gt;0,HLOOKUP(J$6,CHARMS!$A$6:$CQ$92,36,),"")</f>
        <v>Yes</v>
      </c>
      <c r="K33" s="111" t="str">
        <f>IF(HLOOKUP(K$6,CHARMS!$A$6:$CQ$92,36,)&lt;&gt;0,HLOOKUP(K$6,CHARMS!$A$6:$CQ$92,36,),"")</f>
        <v>No</v>
      </c>
      <c r="L33" s="111" t="str">
        <f>IF(HLOOKUP(L$6,CHARMS!$A$6:$CQ$92,36,)&lt;&gt;0,HLOOKUP(L$6,CHARMS!$A$6:$CQ$92,36,),"")</f>
        <v>No</v>
      </c>
      <c r="M33" s="111" t="str">
        <f>IF(HLOOKUP(M$6,CHARMS!$A$6:$CQ$92,36,)&lt;&gt;0,HLOOKUP(M$6,CHARMS!$A$6:$CQ$92,36,),"")</f>
        <v/>
      </c>
      <c r="N33" s="111" t="str">
        <f>IF(HLOOKUP(N$6,CHARMS!$A$6:$CQ$92,36,)&lt;&gt;0,HLOOKUP(N$6,CHARMS!$A$6:$CQ$92,36,),"")</f>
        <v/>
      </c>
      <c r="O33" s="111" t="str">
        <f>IF(HLOOKUP(O$6,CHARMS!$A$6:$CQ$92,36,)&lt;&gt;0,HLOOKUP(O$6,CHARMS!$A$6:$CQ$92,36,),"")</f>
        <v/>
      </c>
      <c r="P33" s="111" t="str">
        <f>IF(HLOOKUP(P$6,CHARMS!$A$6:$CQ$92,36,)&lt;&gt;0,HLOOKUP(P$6,CHARMS!$A$6:$CQ$92,36,),"")</f>
        <v/>
      </c>
      <c r="Q33" s="111" t="str">
        <f>IF(HLOOKUP(Q$6,CHARMS!$A$6:$CQ$92,36,)&lt;&gt;0,HLOOKUP(Q$6,CHARMS!$A$6:$CQ$92,36,),"")</f>
        <v/>
      </c>
      <c r="R33" s="111" t="str">
        <f>IF(HLOOKUP(R$6,CHARMS!$A$6:$CQ$92,36,)&lt;&gt;0,HLOOKUP(R$6,CHARMS!$A$6:$CQ$92,36,),"")</f>
        <v/>
      </c>
      <c r="S33" s="111" t="str">
        <f>IF(HLOOKUP(S$6,CHARMS!$A$6:$CQ$92,36,)&lt;&gt;0,HLOOKUP(S$6,CHARMS!$A$6:$CQ$92,36,),"")</f>
        <v/>
      </c>
      <c r="T33" s="111" t="str">
        <f>IF(HLOOKUP(T$6,CHARMS!$A$6:$CQ$92,36,)&lt;&gt;0,HLOOKUP(T$6,CHARMS!$A$6:$CQ$92,36,),"")</f>
        <v/>
      </c>
      <c r="U33" s="111" t="str">
        <f>IF(HLOOKUP(U$6,CHARMS!$A$6:$CQ$92,36,)&lt;&gt;0,HLOOKUP(U$6,CHARMS!$A$6:$CQ$92,36,),"")</f>
        <v/>
      </c>
      <c r="V33" s="111" t="str">
        <f>IF(HLOOKUP(V$6,CHARMS!$A$6:$CQ$92,36,)&lt;&gt;0,HLOOKUP(V$6,CHARMS!$A$6:$CQ$92,36,),"")</f>
        <v/>
      </c>
      <c r="W33" s="111" t="str">
        <f>IF(HLOOKUP(W$6,CHARMS!$A$6:$CQ$92,36,)&lt;&gt;0,HLOOKUP(W$6,CHARMS!$A$6:$CQ$92,36,),"")</f>
        <v/>
      </c>
      <c r="X33" s="111" t="str">
        <f>IF(HLOOKUP(X$6,CHARMS!$A$6:$CQ$92,36,)&lt;&gt;0,HLOOKUP(X$6,CHARMS!$A$6:$CQ$92,36,),"")</f>
        <v/>
      </c>
      <c r="Y33" s="111" t="str">
        <f>IF(HLOOKUP(Y$6,CHARMS!$A$6:$CQ$92,36,)&lt;&gt;0,HLOOKUP(Y$6,CHARMS!$A$6:$CQ$92,36,),"")</f>
        <v/>
      </c>
      <c r="Z33" s="111" t="str">
        <f>IF(HLOOKUP(Z$6,CHARMS!$A$6:$CQ$92,36,)&lt;&gt;0,HLOOKUP(Z$6,CHARMS!$A$6:$CQ$92,36,),"")</f>
        <v/>
      </c>
      <c r="AA33" s="111" t="str">
        <f>IF(HLOOKUP(AA$6,CHARMS!$A$6:$CQ$92,36,)&lt;&gt;0,HLOOKUP(AA$6,CHARMS!$A$6:$CQ$92,36,),"")</f>
        <v/>
      </c>
      <c r="AB33" s="111" t="str">
        <f>IF(HLOOKUP(AB$6,CHARMS!$A$6:$CQ$92,36,)&lt;&gt;0,HLOOKUP(AB$6,CHARMS!$A$6:$CQ$92,36,),"")</f>
        <v/>
      </c>
      <c r="AC33" s="111" t="str">
        <f>IF(HLOOKUP(AC$6,CHARMS!$A$6:$CQ$92,36,)&lt;&gt;0,HLOOKUP(AC$6,CHARMS!$A$6:$CQ$92,36,),"")</f>
        <v/>
      </c>
      <c r="AD33" s="111" t="str">
        <f>IF(HLOOKUP(AD$6,CHARMS!$A$6:$CQ$92,36,)&lt;&gt;0,HLOOKUP(AD$6,CHARMS!$A$6:$CQ$92,36,),"")</f>
        <v/>
      </c>
      <c r="AE33" s="111" t="str">
        <f>IF(HLOOKUP(AE$6,CHARMS!$A$6:$CQ$92,36,)&lt;&gt;0,HLOOKUP(AE$6,CHARMS!$A$6:$CQ$92,36,),"")</f>
        <v/>
      </c>
    </row>
    <row r="34" spans="1:31" s="83" customFormat="1" ht="15" customHeight="1" x14ac:dyDescent="0.25">
      <c r="A34" s="110" t="s">
        <v>323</v>
      </c>
      <c r="B34" s="111" t="str">
        <f>IF(HLOOKUP(B$6,CHARMS!$A$6:$CQ$92,37,)&lt;&gt;0,HLOOKUP(B$6,CHARMS!$A$6:$CQ$92,37,),"")</f>
        <v>No information</v>
      </c>
      <c r="C34" s="111" t="str">
        <f>IF(HLOOKUP(C$6,CHARMS!$A$6:$CQ$92,37,)&lt;&gt;0,HLOOKUP(C$6,CHARMS!$A$6:$CQ$92,37,),"")</f>
        <v>No information</v>
      </c>
      <c r="D34" s="111" t="str">
        <f>IF(HLOOKUP(D$6,CHARMS!$A$6:$CQ$92,37,)&lt;&gt;0,HLOOKUP(D$6,CHARMS!$A$6:$CQ$92,37,),"")</f>
        <v>No information</v>
      </c>
      <c r="E34" s="111" t="str">
        <f>IF(HLOOKUP(E$6,CHARMS!$A$6:$CQ$92,37,)&lt;&gt;0,HLOOKUP(E$6,CHARMS!$A$6:$CQ$92,37,),"")</f>
        <v>No information</v>
      </c>
      <c r="F34" s="111" t="str">
        <f>IF(HLOOKUP(F$6,CHARMS!$A$6:$CQ$92,37,)&lt;&gt;0,HLOOKUP(F$6,CHARMS!$A$6:$CQ$92,37,),"")</f>
        <v>No information</v>
      </c>
      <c r="G34" s="111" t="str">
        <f>IF(HLOOKUP(G$6,CHARMS!$A$6:$CQ$92,37,)&lt;&gt;0,HLOOKUP(G$6,CHARMS!$A$6:$CQ$92,37,),"")</f>
        <v>No information</v>
      </c>
      <c r="H34" s="111" t="str">
        <f>IF(HLOOKUP(H$6,CHARMS!$A$6:$CQ$92,37,)&lt;&gt;0,HLOOKUP(H$6,CHARMS!$A$6:$CQ$92,37,),"")</f>
        <v>No information</v>
      </c>
      <c r="I34" s="111" t="str">
        <f>IF(HLOOKUP(I$6,CHARMS!$A$6:$CQ$92,37,)&lt;&gt;0,HLOOKUP(I$6,CHARMS!$A$6:$CQ$92,37,),"")</f>
        <v>No information</v>
      </c>
      <c r="J34" s="111" t="str">
        <f>IF(HLOOKUP(J$6,CHARMS!$A$6:$CQ$92,37,)&lt;&gt;0,HLOOKUP(J$6,CHARMS!$A$6:$CQ$92,37,),"")</f>
        <v>No information</v>
      </c>
      <c r="K34" s="111" t="str">
        <f>IF(HLOOKUP(K$6,CHARMS!$A$6:$CQ$92,37,)&lt;&gt;0,HLOOKUP(K$6,CHARMS!$A$6:$CQ$92,37,),"")</f>
        <v>No information</v>
      </c>
      <c r="L34" s="111" t="str">
        <f>IF(HLOOKUP(L$6,CHARMS!$A$6:$CQ$92,37,)&lt;&gt;0,HLOOKUP(L$6,CHARMS!$A$6:$CQ$92,37,),"")</f>
        <v>No information</v>
      </c>
      <c r="M34" s="111" t="str">
        <f>IF(HLOOKUP(M$6,CHARMS!$A$6:$CQ$92,37,)&lt;&gt;0,HLOOKUP(M$6,CHARMS!$A$6:$CQ$92,37,),"")</f>
        <v/>
      </c>
      <c r="N34" s="111" t="str">
        <f>IF(HLOOKUP(N$6,CHARMS!$A$6:$CQ$92,37,)&lt;&gt;0,HLOOKUP(N$6,CHARMS!$A$6:$CQ$92,37,),"")</f>
        <v/>
      </c>
      <c r="O34" s="111" t="str">
        <f>IF(HLOOKUP(O$6,CHARMS!$A$6:$CQ$92,37,)&lt;&gt;0,HLOOKUP(O$6,CHARMS!$A$6:$CQ$92,37,),"")</f>
        <v/>
      </c>
      <c r="P34" s="111" t="str">
        <f>IF(HLOOKUP(P$6,CHARMS!$A$6:$CQ$92,37,)&lt;&gt;0,HLOOKUP(P$6,CHARMS!$A$6:$CQ$92,37,),"")</f>
        <v/>
      </c>
      <c r="Q34" s="111" t="str">
        <f>IF(HLOOKUP(Q$6,CHARMS!$A$6:$CQ$92,37,)&lt;&gt;0,HLOOKUP(Q$6,CHARMS!$A$6:$CQ$92,37,),"")</f>
        <v/>
      </c>
      <c r="R34" s="111" t="str">
        <f>IF(HLOOKUP(R$6,CHARMS!$A$6:$CQ$92,37,)&lt;&gt;0,HLOOKUP(R$6,CHARMS!$A$6:$CQ$92,37,),"")</f>
        <v/>
      </c>
      <c r="S34" s="111" t="str">
        <f>IF(HLOOKUP(S$6,CHARMS!$A$6:$CQ$92,37,)&lt;&gt;0,HLOOKUP(S$6,CHARMS!$A$6:$CQ$92,37,),"")</f>
        <v/>
      </c>
      <c r="T34" s="111" t="str">
        <f>IF(HLOOKUP(T$6,CHARMS!$A$6:$CQ$92,37,)&lt;&gt;0,HLOOKUP(T$6,CHARMS!$A$6:$CQ$92,37,),"")</f>
        <v/>
      </c>
      <c r="U34" s="111" t="str">
        <f>IF(HLOOKUP(U$6,CHARMS!$A$6:$CQ$92,37,)&lt;&gt;0,HLOOKUP(U$6,CHARMS!$A$6:$CQ$92,37,),"")</f>
        <v/>
      </c>
      <c r="V34" s="111" t="str">
        <f>IF(HLOOKUP(V$6,CHARMS!$A$6:$CQ$92,37,)&lt;&gt;0,HLOOKUP(V$6,CHARMS!$A$6:$CQ$92,37,),"")</f>
        <v/>
      </c>
      <c r="W34" s="111" t="str">
        <f>IF(HLOOKUP(W$6,CHARMS!$A$6:$CQ$92,37,)&lt;&gt;0,HLOOKUP(W$6,CHARMS!$A$6:$CQ$92,37,),"")</f>
        <v/>
      </c>
      <c r="X34" s="111" t="str">
        <f>IF(HLOOKUP(X$6,CHARMS!$A$6:$CQ$92,37,)&lt;&gt;0,HLOOKUP(X$6,CHARMS!$A$6:$CQ$92,37,),"")</f>
        <v/>
      </c>
      <c r="Y34" s="111" t="str">
        <f>IF(HLOOKUP(Y$6,CHARMS!$A$6:$CQ$92,37,)&lt;&gt;0,HLOOKUP(Y$6,CHARMS!$A$6:$CQ$92,37,),"")</f>
        <v/>
      </c>
      <c r="Z34" s="111" t="str">
        <f>IF(HLOOKUP(Z$6,CHARMS!$A$6:$CQ$92,37,)&lt;&gt;0,HLOOKUP(Z$6,CHARMS!$A$6:$CQ$92,37,),"")</f>
        <v/>
      </c>
      <c r="AA34" s="111" t="str">
        <f>IF(HLOOKUP(AA$6,CHARMS!$A$6:$CQ$92,37,)&lt;&gt;0,HLOOKUP(AA$6,CHARMS!$A$6:$CQ$92,37,),"")</f>
        <v/>
      </c>
      <c r="AB34" s="111" t="str">
        <f>IF(HLOOKUP(AB$6,CHARMS!$A$6:$CQ$92,37,)&lt;&gt;0,HLOOKUP(AB$6,CHARMS!$A$6:$CQ$92,37,),"")</f>
        <v/>
      </c>
      <c r="AC34" s="111" t="str">
        <f>IF(HLOOKUP(AC$6,CHARMS!$A$6:$CQ$92,37,)&lt;&gt;0,HLOOKUP(AC$6,CHARMS!$A$6:$CQ$92,37,),"")</f>
        <v/>
      </c>
      <c r="AD34" s="111" t="str">
        <f>IF(HLOOKUP(AD$6,CHARMS!$A$6:$CQ$92,37,)&lt;&gt;0,HLOOKUP(AD$6,CHARMS!$A$6:$CQ$92,37,),"")</f>
        <v/>
      </c>
      <c r="AE34" s="111" t="str">
        <f>IF(HLOOKUP(AE$6,CHARMS!$A$6:$CQ$92,37,)&lt;&gt;0,HLOOKUP(AE$6,CHARMS!$A$6:$CQ$92,37,),"")</f>
        <v/>
      </c>
    </row>
    <row r="35" spans="1:31" s="83" customFormat="1" ht="15" customHeight="1" x14ac:dyDescent="0.25">
      <c r="A35" s="112" t="s">
        <v>324</v>
      </c>
      <c r="B35" s="113" t="str">
        <f>IF(HLOOKUP(B$6,CHARMS!$A$6:$CQ$92,35,)&lt;&gt;0,HLOOKUP(B$6,CHARMS!$A$6:$CQ$92,35,),"")</f>
        <v>Pre-operative</v>
      </c>
      <c r="C35" s="113" t="str">
        <f>IF(HLOOKUP(C$6,CHARMS!$A$6:$CQ$92,35,)&lt;&gt;0,HLOOKUP(C$6,CHARMS!$A$6:$CQ$92,35,),"")</f>
        <v>pre-operative</v>
      </c>
      <c r="D35" s="113" t="str">
        <f>IF(HLOOKUP(D$6,CHARMS!$A$6:$CQ$92,35,)&lt;&gt;0,HLOOKUP(D$6,CHARMS!$A$6:$CQ$92,35,),"")</f>
        <v>Pre-operative</v>
      </c>
      <c r="E35" s="113" t="str">
        <f>IF(HLOOKUP(E$6,CHARMS!$A$6:$CQ$92,35,)&lt;&gt;0,HLOOKUP(E$6,CHARMS!$A$6:$CQ$92,35,),"")</f>
        <v>Pre-operative</v>
      </c>
      <c r="F35" s="113" t="str">
        <f>IF(HLOOKUP(F$6,CHARMS!$A$6:$CQ$92,35,)&lt;&gt;0,HLOOKUP(F$6,CHARMS!$A$6:$CQ$92,35,),"")</f>
        <v>Pre-operative</v>
      </c>
      <c r="G35" s="113" t="str">
        <f>IF(HLOOKUP(G$6,CHARMS!$A$6:$CQ$92,35,)&lt;&gt;0,HLOOKUP(G$6,CHARMS!$A$6:$CQ$92,35,),"")</f>
        <v>Pre-operative</v>
      </c>
      <c r="H35" s="113" t="str">
        <f>IF(HLOOKUP(H$6,CHARMS!$A$6:$CQ$92,35,)&lt;&gt;0,HLOOKUP(H$6,CHARMS!$A$6:$CQ$92,35,),"")</f>
        <v>Pre-operative</v>
      </c>
      <c r="I35" s="113" t="str">
        <f>IF(HLOOKUP(I$6,CHARMS!$A$6:$CQ$92,35,)&lt;&gt;0,HLOOKUP(I$6,CHARMS!$A$6:$CQ$92,35,),"")</f>
        <v>Pre-operative</v>
      </c>
      <c r="J35" s="113" t="str">
        <f>IF(HLOOKUP(J$6,CHARMS!$A$6:$CQ$92,35,)&lt;&gt;0,HLOOKUP(J$6,CHARMS!$A$6:$CQ$92,35,),"")</f>
        <v>Pre-operative</v>
      </c>
      <c r="K35" s="113" t="str">
        <f>IF(HLOOKUP(K$6,CHARMS!$A$6:$CQ$92,35,)&lt;&gt;0,HLOOKUP(K$6,CHARMS!$A$6:$CQ$92,35,),"")</f>
        <v>Pre-operative</v>
      </c>
      <c r="L35" s="113" t="str">
        <f>IF(HLOOKUP(L$6,CHARMS!$A$6:$CQ$92,35,)&lt;&gt;0,HLOOKUP(L$6,CHARMS!$A$6:$CQ$92,35,),"")</f>
        <v>Pre-operative</v>
      </c>
      <c r="M35" s="113" t="str">
        <f>IF(HLOOKUP(M$6,CHARMS!$A$6:$CQ$92,35,)&lt;&gt;0,HLOOKUP(M$6,CHARMS!$A$6:$CQ$92,35,),"")</f>
        <v/>
      </c>
      <c r="N35" s="113" t="str">
        <f>IF(HLOOKUP(N$6,CHARMS!$A$6:$CQ$92,35,)&lt;&gt;0,HLOOKUP(N$6,CHARMS!$A$6:$CQ$92,35,),"")</f>
        <v/>
      </c>
      <c r="O35" s="113" t="str">
        <f>IF(HLOOKUP(O$6,CHARMS!$A$6:$CQ$92,35,)&lt;&gt;0,HLOOKUP(O$6,CHARMS!$A$6:$CQ$92,35,),"")</f>
        <v/>
      </c>
      <c r="P35" s="113" t="str">
        <f>IF(HLOOKUP(P$6,CHARMS!$A$6:$CQ$92,35,)&lt;&gt;0,HLOOKUP(P$6,CHARMS!$A$6:$CQ$92,35,),"")</f>
        <v/>
      </c>
      <c r="Q35" s="113" t="str">
        <f>IF(HLOOKUP(Q$6,CHARMS!$A$6:$CQ$92,35,)&lt;&gt;0,HLOOKUP(Q$6,CHARMS!$A$6:$CQ$92,35,),"")</f>
        <v/>
      </c>
      <c r="R35" s="113" t="str">
        <f>IF(HLOOKUP(R$6,CHARMS!$A$6:$CQ$92,35,)&lt;&gt;0,HLOOKUP(R$6,CHARMS!$A$6:$CQ$92,35,),"")</f>
        <v/>
      </c>
      <c r="S35" s="113" t="str">
        <f>IF(HLOOKUP(S$6,CHARMS!$A$6:$CQ$92,35,)&lt;&gt;0,HLOOKUP(S$6,CHARMS!$A$6:$CQ$92,35,),"")</f>
        <v/>
      </c>
      <c r="T35" s="113" t="str">
        <f>IF(HLOOKUP(T$6,CHARMS!$A$6:$CQ$92,35,)&lt;&gt;0,HLOOKUP(T$6,CHARMS!$A$6:$CQ$92,35,),"")</f>
        <v/>
      </c>
      <c r="U35" s="113" t="str">
        <f>IF(HLOOKUP(U$6,CHARMS!$A$6:$CQ$92,35,)&lt;&gt;0,HLOOKUP(U$6,CHARMS!$A$6:$CQ$92,35,),"")</f>
        <v/>
      </c>
      <c r="V35" s="113" t="str">
        <f>IF(HLOOKUP(V$6,CHARMS!$A$6:$CQ$92,35,)&lt;&gt;0,HLOOKUP(V$6,CHARMS!$A$6:$CQ$92,35,),"")</f>
        <v/>
      </c>
      <c r="W35" s="113" t="str">
        <f>IF(HLOOKUP(W$6,CHARMS!$A$6:$CQ$92,35,)&lt;&gt;0,HLOOKUP(W$6,CHARMS!$A$6:$CQ$92,35,),"")</f>
        <v/>
      </c>
      <c r="X35" s="113" t="str">
        <f>IF(HLOOKUP(X$6,CHARMS!$A$6:$CQ$92,35,)&lt;&gt;0,HLOOKUP(X$6,CHARMS!$A$6:$CQ$92,35,),"")</f>
        <v/>
      </c>
      <c r="Y35" s="113" t="str">
        <f>IF(HLOOKUP(Y$6,CHARMS!$A$6:$CQ$92,35,)&lt;&gt;0,HLOOKUP(Y$6,CHARMS!$A$6:$CQ$92,35,),"")</f>
        <v/>
      </c>
      <c r="Z35" s="113" t="str">
        <f>IF(HLOOKUP(Z$6,CHARMS!$A$6:$CQ$92,35,)&lt;&gt;0,HLOOKUP(Z$6,CHARMS!$A$6:$CQ$92,35,),"")</f>
        <v/>
      </c>
      <c r="AA35" s="113" t="str">
        <f>IF(HLOOKUP(AA$6,CHARMS!$A$6:$CQ$92,35,)&lt;&gt;0,HLOOKUP(AA$6,CHARMS!$A$6:$CQ$92,35,),"")</f>
        <v/>
      </c>
      <c r="AB35" s="113" t="str">
        <f>IF(HLOOKUP(AB$6,CHARMS!$A$6:$CQ$92,35,)&lt;&gt;0,HLOOKUP(AB$6,CHARMS!$A$6:$CQ$92,35,),"")</f>
        <v/>
      </c>
      <c r="AC35" s="113" t="str">
        <f>IF(HLOOKUP(AC$6,CHARMS!$A$6:$CQ$92,35,)&lt;&gt;0,HLOOKUP(AC$6,CHARMS!$A$6:$CQ$92,35,),"")</f>
        <v/>
      </c>
      <c r="AD35" s="113" t="str">
        <f>IF(HLOOKUP(AD$6,CHARMS!$A$6:$CQ$92,35,)&lt;&gt;0,HLOOKUP(AD$6,CHARMS!$A$6:$CQ$92,35,),"")</f>
        <v/>
      </c>
      <c r="AE35" s="113" t="str">
        <f>IF(HLOOKUP(AE$6,CHARMS!$A$6:$CQ$92,35,)&lt;&gt;0,HLOOKUP(AE$6,CHARMS!$A$6:$CQ$92,35,),"")</f>
        <v/>
      </c>
    </row>
    <row r="36" spans="1:31" s="83" customFormat="1" ht="75" customHeight="1" x14ac:dyDescent="0.25">
      <c r="A36" s="114" t="s">
        <v>312</v>
      </c>
      <c r="B36" s="29" t="s">
        <v>325</v>
      </c>
      <c r="C36" s="29" t="s">
        <v>326</v>
      </c>
      <c r="D36" s="29"/>
      <c r="E36" s="29"/>
      <c r="F36" s="29" t="s">
        <v>327</v>
      </c>
      <c r="G36" s="29"/>
      <c r="H36" s="29"/>
      <c r="I36" s="29"/>
      <c r="J36" s="29"/>
      <c r="K36" s="29" t="s">
        <v>328</v>
      </c>
      <c r="L36" s="29" t="s">
        <v>329</v>
      </c>
      <c r="M36" s="29"/>
      <c r="N36" s="29"/>
      <c r="O36" s="29"/>
      <c r="P36" s="29"/>
      <c r="Q36" s="29"/>
      <c r="R36" s="29"/>
      <c r="S36" s="29"/>
      <c r="T36" s="29"/>
      <c r="U36" s="29"/>
      <c r="V36" s="29"/>
      <c r="W36" s="29"/>
      <c r="X36" s="29"/>
      <c r="Y36" s="29"/>
      <c r="Z36" s="29"/>
      <c r="AA36" s="29"/>
      <c r="AB36" s="29"/>
      <c r="AC36" s="29"/>
      <c r="AD36" s="29"/>
      <c r="AE36" s="29"/>
    </row>
    <row r="37" spans="1:31" ht="18.75" customHeight="1" x14ac:dyDescent="0.25">
      <c r="A37" s="94" t="s">
        <v>330</v>
      </c>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row>
    <row r="38" spans="1:31" s="104" customFormat="1" ht="15" customHeight="1" x14ac:dyDescent="0.25">
      <c r="A38" s="103" t="s">
        <v>331</v>
      </c>
      <c r="B38" s="27" t="s">
        <v>168</v>
      </c>
      <c r="C38" s="27" t="s">
        <v>168</v>
      </c>
      <c r="D38" s="27" t="s">
        <v>168</v>
      </c>
      <c r="E38" s="27" t="s">
        <v>168</v>
      </c>
      <c r="F38" s="27" t="s">
        <v>168</v>
      </c>
      <c r="G38" s="27" t="s">
        <v>168</v>
      </c>
      <c r="H38" s="27" t="s">
        <v>168</v>
      </c>
      <c r="I38" s="27" t="s">
        <v>168</v>
      </c>
      <c r="J38" s="27" t="s">
        <v>168</v>
      </c>
      <c r="K38" s="27" t="s">
        <v>168</v>
      </c>
      <c r="L38" s="27" t="s">
        <v>168</v>
      </c>
      <c r="M38" s="27"/>
      <c r="N38" s="27"/>
      <c r="O38" s="27"/>
      <c r="P38" s="27"/>
      <c r="Q38" s="27"/>
      <c r="R38" s="27"/>
      <c r="S38" s="27"/>
      <c r="T38" s="27"/>
      <c r="U38" s="27"/>
      <c r="V38" s="27"/>
      <c r="W38" s="27"/>
      <c r="X38" s="27"/>
      <c r="Y38" s="27"/>
      <c r="Z38" s="27"/>
      <c r="AA38" s="27"/>
      <c r="AB38" s="27"/>
      <c r="AC38" s="27"/>
      <c r="AD38" s="27"/>
      <c r="AE38" s="27"/>
    </row>
    <row r="39" spans="1:31" s="104" customFormat="1" ht="15" customHeight="1" x14ac:dyDescent="0.25">
      <c r="A39" s="115" t="s">
        <v>332</v>
      </c>
      <c r="B39" s="30" t="s">
        <v>168</v>
      </c>
      <c r="C39" s="30" t="s">
        <v>168</v>
      </c>
      <c r="D39" s="30" t="s">
        <v>168</v>
      </c>
      <c r="E39" s="30" t="s">
        <v>168</v>
      </c>
      <c r="F39" s="30" t="s">
        <v>168</v>
      </c>
      <c r="G39" s="30" t="s">
        <v>168</v>
      </c>
      <c r="H39" s="30" t="s">
        <v>168</v>
      </c>
      <c r="I39" s="30" t="s">
        <v>168</v>
      </c>
      <c r="J39" s="30" t="s">
        <v>168</v>
      </c>
      <c r="K39" s="30" t="s">
        <v>168</v>
      </c>
      <c r="L39" s="30" t="s">
        <v>168</v>
      </c>
      <c r="M39" s="30"/>
      <c r="N39" s="30"/>
      <c r="O39" s="30"/>
      <c r="P39" s="30"/>
      <c r="Q39" s="30"/>
      <c r="R39" s="30"/>
      <c r="S39" s="30"/>
      <c r="T39" s="30"/>
      <c r="U39" s="30"/>
      <c r="V39" s="30"/>
      <c r="W39" s="30"/>
      <c r="X39" s="30"/>
      <c r="Y39" s="30"/>
      <c r="Z39" s="30"/>
      <c r="AA39" s="30"/>
      <c r="AB39" s="30"/>
      <c r="AC39" s="30"/>
      <c r="AD39" s="30"/>
      <c r="AE39" s="30"/>
    </row>
    <row r="40" spans="1:31" s="104" customFormat="1" ht="15" customHeight="1" x14ac:dyDescent="0.25">
      <c r="A40" s="115" t="s">
        <v>333</v>
      </c>
      <c r="B40" s="30" t="s">
        <v>168</v>
      </c>
      <c r="C40" s="30" t="s">
        <v>168</v>
      </c>
      <c r="D40" s="30" t="s">
        <v>168</v>
      </c>
      <c r="E40" s="30" t="s">
        <v>168</v>
      </c>
      <c r="F40" s="30" t="s">
        <v>168</v>
      </c>
      <c r="G40" s="30" t="s">
        <v>168</v>
      </c>
      <c r="H40" s="30" t="s">
        <v>168</v>
      </c>
      <c r="I40" s="30" t="s">
        <v>168</v>
      </c>
      <c r="J40" s="30" t="s">
        <v>168</v>
      </c>
      <c r="K40" s="30" t="s">
        <v>168</v>
      </c>
      <c r="L40" s="30" t="s">
        <v>168</v>
      </c>
      <c r="M40" s="30"/>
      <c r="N40" s="30"/>
      <c r="O40" s="30"/>
      <c r="P40" s="30"/>
      <c r="Q40" s="30"/>
      <c r="R40" s="30"/>
      <c r="S40" s="30"/>
      <c r="T40" s="30"/>
      <c r="U40" s="30"/>
      <c r="V40" s="30"/>
      <c r="W40" s="30"/>
      <c r="X40" s="30"/>
      <c r="Y40" s="30"/>
      <c r="Z40" s="30"/>
      <c r="AA40" s="30"/>
      <c r="AB40" s="30"/>
      <c r="AC40" s="30"/>
      <c r="AD40" s="30"/>
      <c r="AE40" s="30"/>
    </row>
    <row r="41" spans="1:31" s="104" customFormat="1" ht="15" customHeight="1" x14ac:dyDescent="0.25">
      <c r="A41" s="115" t="s">
        <v>334</v>
      </c>
      <c r="B41" s="30" t="s">
        <v>168</v>
      </c>
      <c r="C41" s="30" t="s">
        <v>168</v>
      </c>
      <c r="D41" s="30" t="s">
        <v>168</v>
      </c>
      <c r="E41" s="30" t="s">
        <v>168</v>
      </c>
      <c r="F41" s="30" t="s">
        <v>168</v>
      </c>
      <c r="G41" s="30" t="s">
        <v>168</v>
      </c>
      <c r="H41" s="30" t="s">
        <v>168</v>
      </c>
      <c r="I41" s="30" t="s">
        <v>168</v>
      </c>
      <c r="J41" s="30" t="s">
        <v>168</v>
      </c>
      <c r="K41" s="30" t="s">
        <v>168</v>
      </c>
      <c r="L41" s="30" t="s">
        <v>168</v>
      </c>
      <c r="M41" s="30"/>
      <c r="N41" s="30"/>
      <c r="O41" s="30"/>
      <c r="P41" s="30"/>
      <c r="Q41" s="30"/>
      <c r="R41" s="30"/>
      <c r="S41" s="30"/>
      <c r="T41" s="30"/>
      <c r="U41" s="30"/>
      <c r="V41" s="30"/>
      <c r="W41" s="30"/>
      <c r="X41" s="30"/>
      <c r="Y41" s="30"/>
      <c r="Z41" s="30"/>
      <c r="AA41" s="30"/>
      <c r="AB41" s="30"/>
      <c r="AC41" s="30"/>
      <c r="AD41" s="30"/>
      <c r="AE41" s="30"/>
    </row>
    <row r="42" spans="1:31" s="104" customFormat="1" ht="15" customHeight="1" x14ac:dyDescent="0.25">
      <c r="A42" s="115" t="s">
        <v>335</v>
      </c>
      <c r="B42" s="30" t="s">
        <v>298</v>
      </c>
      <c r="C42" s="30" t="s">
        <v>298</v>
      </c>
      <c r="D42" s="30" t="s">
        <v>298</v>
      </c>
      <c r="E42" s="30" t="s">
        <v>298</v>
      </c>
      <c r="F42" s="30" t="s">
        <v>298</v>
      </c>
      <c r="G42" s="30" t="s">
        <v>298</v>
      </c>
      <c r="H42" s="30" t="s">
        <v>298</v>
      </c>
      <c r="I42" s="30" t="s">
        <v>298</v>
      </c>
      <c r="J42" s="30" t="s">
        <v>298</v>
      </c>
      <c r="K42" s="30" t="s">
        <v>298</v>
      </c>
      <c r="L42" s="30" t="s">
        <v>298</v>
      </c>
      <c r="M42" s="30"/>
      <c r="N42" s="30"/>
      <c r="O42" s="30"/>
      <c r="P42" s="30"/>
      <c r="Q42" s="30"/>
      <c r="R42" s="30"/>
      <c r="S42" s="30"/>
      <c r="T42" s="30"/>
      <c r="U42" s="30"/>
      <c r="V42" s="30"/>
      <c r="W42" s="30"/>
      <c r="X42" s="30"/>
      <c r="Y42" s="30"/>
      <c r="Z42" s="30"/>
      <c r="AA42" s="30"/>
      <c r="AB42" s="30"/>
      <c r="AC42" s="30"/>
      <c r="AD42" s="30"/>
      <c r="AE42" s="30"/>
    </row>
    <row r="43" spans="1:31" s="104" customFormat="1" ht="15" customHeight="1" x14ac:dyDescent="0.25">
      <c r="A43" s="105" t="s">
        <v>336</v>
      </c>
      <c r="B43" s="28" t="s">
        <v>295</v>
      </c>
      <c r="C43" s="28" t="s">
        <v>295</v>
      </c>
      <c r="D43" s="28" t="s">
        <v>295</v>
      </c>
      <c r="E43" s="28" t="s">
        <v>295</v>
      </c>
      <c r="F43" s="28" t="s">
        <v>295</v>
      </c>
      <c r="G43" s="28" t="s">
        <v>295</v>
      </c>
      <c r="H43" s="28" t="s">
        <v>295</v>
      </c>
      <c r="I43" s="28" t="s">
        <v>295</v>
      </c>
      <c r="J43" s="28" t="s">
        <v>295</v>
      </c>
      <c r="K43" s="28" t="s">
        <v>295</v>
      </c>
      <c r="L43" s="28" t="s">
        <v>295</v>
      </c>
      <c r="M43" s="28"/>
      <c r="N43" s="28"/>
      <c r="O43" s="28"/>
      <c r="P43" s="28"/>
      <c r="Q43" s="28"/>
      <c r="R43" s="28"/>
      <c r="S43" s="28"/>
      <c r="T43" s="28"/>
      <c r="U43" s="28"/>
      <c r="V43" s="28"/>
      <c r="W43" s="28"/>
      <c r="X43" s="28"/>
      <c r="Y43" s="28"/>
      <c r="Z43" s="28"/>
      <c r="AA43" s="28"/>
      <c r="AB43" s="28"/>
      <c r="AC43" s="28"/>
      <c r="AD43" s="28"/>
      <c r="AE43" s="28"/>
    </row>
    <row r="44" spans="1:31" s="83" customFormat="1" ht="18.75" customHeight="1" x14ac:dyDescent="0.25">
      <c r="A44" s="106" t="s">
        <v>337</v>
      </c>
      <c r="B44" s="33" t="s">
        <v>301</v>
      </c>
      <c r="C44" s="33" t="s">
        <v>301</v>
      </c>
      <c r="D44" s="33" t="s">
        <v>301</v>
      </c>
      <c r="E44" s="33" t="s">
        <v>301</v>
      </c>
      <c r="F44" s="33" t="s">
        <v>301</v>
      </c>
      <c r="G44" s="33" t="s">
        <v>301</v>
      </c>
      <c r="H44" s="33" t="s">
        <v>301</v>
      </c>
      <c r="I44" s="33" t="s">
        <v>301</v>
      </c>
      <c r="J44" s="33" t="s">
        <v>301</v>
      </c>
      <c r="K44" s="33" t="s">
        <v>301</v>
      </c>
      <c r="L44" s="33" t="s">
        <v>301</v>
      </c>
      <c r="M44" s="33"/>
      <c r="N44" s="33"/>
      <c r="O44" s="33"/>
      <c r="P44" s="33"/>
      <c r="Q44" s="33"/>
      <c r="R44" s="33"/>
      <c r="S44" s="33"/>
      <c r="T44" s="33"/>
      <c r="U44" s="33"/>
      <c r="V44" s="33"/>
      <c r="W44" s="33"/>
      <c r="X44" s="33"/>
      <c r="Y44" s="33"/>
      <c r="Z44" s="33"/>
      <c r="AA44" s="33"/>
      <c r="AB44" s="33"/>
      <c r="AC44" s="33"/>
      <c r="AD44" s="33"/>
      <c r="AE44" s="33"/>
    </row>
    <row r="45" spans="1:31" s="83" customFormat="1" ht="18.75" customHeight="1" x14ac:dyDescent="0.25">
      <c r="A45" s="107" t="s">
        <v>302</v>
      </c>
      <c r="B45" s="34" t="s">
        <v>303</v>
      </c>
      <c r="C45" s="34" t="s">
        <v>303</v>
      </c>
      <c r="D45" s="34" t="s">
        <v>303</v>
      </c>
      <c r="E45" s="34" t="s">
        <v>303</v>
      </c>
      <c r="F45" s="34" t="s">
        <v>303</v>
      </c>
      <c r="G45" s="34" t="s">
        <v>303</v>
      </c>
      <c r="H45" s="34" t="s">
        <v>303</v>
      </c>
      <c r="I45" s="34" t="s">
        <v>303</v>
      </c>
      <c r="J45" s="34" t="s">
        <v>303</v>
      </c>
      <c r="K45" s="34" t="s">
        <v>303</v>
      </c>
      <c r="L45" s="34" t="s">
        <v>303</v>
      </c>
      <c r="M45" s="34"/>
      <c r="N45" s="34"/>
      <c r="O45" s="34"/>
      <c r="P45" s="34"/>
      <c r="Q45" s="34"/>
      <c r="R45" s="34"/>
      <c r="S45" s="34"/>
      <c r="T45" s="34"/>
      <c r="U45" s="34"/>
      <c r="V45" s="34"/>
      <c r="W45" s="34"/>
      <c r="X45" s="34"/>
      <c r="Y45" s="34"/>
      <c r="Z45" s="34"/>
      <c r="AA45" s="34"/>
      <c r="AB45" s="34"/>
      <c r="AC45" s="34"/>
      <c r="AD45" s="34"/>
      <c r="AE45" s="34"/>
    </row>
    <row r="46" spans="1:31" s="83" customFormat="1" ht="15" customHeight="1" x14ac:dyDescent="0.25">
      <c r="A46" s="108" t="s">
        <v>305</v>
      </c>
      <c r="B46" s="109"/>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row>
    <row r="47" spans="1:31" s="83" customFormat="1" ht="45" customHeight="1" x14ac:dyDescent="0.25">
      <c r="A47" s="110" t="s">
        <v>338</v>
      </c>
      <c r="B47" s="111" t="str">
        <f>IF(HLOOKUP(B$6,CHARMS!$A$6:$CQ$89,26,)&lt;&gt;0,HLOOKUP(B$6,CHARMS!$A$6:$CQ$92,26,),"")</f>
        <v>Death occurring before discharge or within 30 days of surgery.</v>
      </c>
      <c r="C47" s="111" t="str">
        <f>IF(HLOOKUP(C$6,CHARMS!$A$6:$CQ$89,26,)&lt;&gt;0,HLOOKUP(C$6,CHARMS!$A$6:$CQ$92,26,),"")</f>
        <v>30-day death or in hospital death</v>
      </c>
      <c r="D47" s="111" t="str">
        <f>IF(HLOOKUP(D$6,CHARMS!$A$6:$CQ$89,26,)&lt;&gt;0,HLOOKUP(D$6,CHARMS!$A$6:$CQ$92,26,),"")</f>
        <v>Operative mortality ocurring during the admission</v>
      </c>
      <c r="E47" s="111" t="str">
        <f>IF(HLOOKUP(E$6,CHARMS!$A$6:$CQ$89,26,)&lt;&gt;0,HLOOKUP(E$6,CHARMS!$A$6:$CQ$92,26,),"")</f>
        <v>at 30 days or during the index hospitalization</v>
      </c>
      <c r="F47" s="111" t="str">
        <f>IF(HLOOKUP(F$6,CHARMS!$A$6:$CQ$89,26,)&lt;&gt;0,HLOOKUP(F$6,CHARMS!$A$6:$CQ$92,26,),"")</f>
        <v>In-hospital death</v>
      </c>
      <c r="G47" s="111" t="str">
        <f>IF(HLOOKUP(G$6,CHARMS!$A$6:$CQ$89,26,)&lt;&gt;0,HLOOKUP(G$6,CHARMS!$A$6:$CQ$92,26,),"")</f>
        <v>In-hospital death</v>
      </c>
      <c r="H47" s="111" t="str">
        <f>IF(HLOOKUP(H$6,CHARMS!$A$6:$CQ$89,26,)&lt;&gt;0,HLOOKUP(H$6,CHARMS!$A$6:$CQ$92,26,),"")</f>
        <v>Death by 30 days after surgery due to any cause</v>
      </c>
      <c r="I47" s="111" t="str">
        <f>IF(HLOOKUP(I$6,CHARMS!$A$6:$CQ$89,26,)&lt;&gt;0,HLOOKUP(I$6,CHARMS!$A$6:$CQ$92,26,),"")</f>
        <v>In-hospital postsurgery mortality</v>
      </c>
      <c r="J47" s="111" t="str">
        <f>IF(HLOOKUP(J$6,CHARMS!$A$6:$CQ$89,26,)&lt;&gt;0,HLOOKUP(J$6,CHARMS!$A$6:$CQ$92,26,),"")</f>
        <v>Death ocurring after surgery and before discharge, regardless of its cause.</v>
      </c>
      <c r="K47" s="111" t="str">
        <f>IF(HLOOKUP(K$6,CHARMS!$A$6:$CQ$89,26,)&lt;&gt;0,HLOOKUP(K$6,CHARMS!$A$6:$CQ$92,26,),"")</f>
        <v>Death occurring within the first 30 days after cardiac surgery.</v>
      </c>
      <c r="L47" s="111" t="str">
        <f>IF(HLOOKUP(L$6,CHARMS!$A$6:$CQ$89,26,)&lt;&gt;0,HLOOKUP(L$6,CHARMS!$A$6:$CQ$92,26,),"")</f>
        <v>Death occurring within the first 30 days after cardiac surgery.</v>
      </c>
      <c r="M47" s="111" t="str">
        <f>IF(HLOOKUP(M$6,CHARMS!$A$6:$CQ$89,26,)&lt;&gt;0,HLOOKUP(M$6,CHARMS!$A$6:$CQ$92,26,),"")</f>
        <v/>
      </c>
      <c r="N47" s="111" t="str">
        <f>IF(HLOOKUP(N$6,CHARMS!$A$6:$CQ$89,26,)&lt;&gt;0,HLOOKUP(N$6,CHARMS!$A$6:$CQ$92,26,),"")</f>
        <v/>
      </c>
      <c r="O47" s="111" t="str">
        <f>IF(HLOOKUP(O$6,CHARMS!$A$6:$CQ$89,26,)&lt;&gt;0,HLOOKUP(O$6,CHARMS!$A$6:$CQ$92,26,),"")</f>
        <v/>
      </c>
      <c r="P47" s="111" t="str">
        <f>IF(HLOOKUP(P$6,CHARMS!$A$6:$CQ$89,26,)&lt;&gt;0,HLOOKUP(P$6,CHARMS!$A$6:$CQ$92,26,),"")</f>
        <v/>
      </c>
      <c r="Q47" s="111" t="str">
        <f>IF(HLOOKUP(Q$6,CHARMS!$A$6:$CQ$89,26,)&lt;&gt;0,HLOOKUP(Q$6,CHARMS!$A$6:$CQ$92,26,),"")</f>
        <v/>
      </c>
      <c r="R47" s="111" t="str">
        <f>IF(HLOOKUP(R$6,CHARMS!$A$6:$CQ$89,26,)&lt;&gt;0,HLOOKUP(R$6,CHARMS!$A$6:$CQ$92,26,),"")</f>
        <v/>
      </c>
      <c r="S47" s="111" t="str">
        <f>IF(HLOOKUP(S$6,CHARMS!$A$6:$CQ$89,26,)&lt;&gt;0,HLOOKUP(S$6,CHARMS!$A$6:$CQ$92,26,),"")</f>
        <v/>
      </c>
      <c r="T47" s="111" t="str">
        <f>IF(HLOOKUP(T$6,CHARMS!$A$6:$CQ$89,26,)&lt;&gt;0,HLOOKUP(T$6,CHARMS!$A$6:$CQ$92,26,),"")</f>
        <v/>
      </c>
      <c r="U47" s="111" t="str">
        <f>IF(HLOOKUP(U$6,CHARMS!$A$6:$CQ$89,26,)&lt;&gt;0,HLOOKUP(U$6,CHARMS!$A$6:$CQ$92,26,),"")</f>
        <v/>
      </c>
      <c r="V47" s="111" t="str">
        <f>IF(HLOOKUP(V$6,CHARMS!$A$6:$CQ$89,26,)&lt;&gt;0,HLOOKUP(V$6,CHARMS!$A$6:$CQ$92,26,),"")</f>
        <v/>
      </c>
      <c r="W47" s="111" t="str">
        <f>IF(HLOOKUP(W$6,CHARMS!$A$6:$CQ$89,26,)&lt;&gt;0,HLOOKUP(W$6,CHARMS!$A$6:$CQ$92,26,),"")</f>
        <v/>
      </c>
      <c r="X47" s="111" t="str">
        <f>IF(HLOOKUP(X$6,CHARMS!$A$6:$CQ$89,26,)&lt;&gt;0,HLOOKUP(X$6,CHARMS!$A$6:$CQ$92,26,),"")</f>
        <v/>
      </c>
      <c r="Y47" s="111" t="str">
        <f>IF(HLOOKUP(Y$6,CHARMS!$A$6:$CQ$89,26,)&lt;&gt;0,HLOOKUP(Y$6,CHARMS!$A$6:$CQ$92,26,),"")</f>
        <v/>
      </c>
      <c r="Z47" s="111" t="str">
        <f>IF(HLOOKUP(Z$6,CHARMS!$A$6:$CQ$89,26,)&lt;&gt;0,HLOOKUP(Z$6,CHARMS!$A$6:$CQ$92,26,),"")</f>
        <v/>
      </c>
      <c r="AA47" s="111" t="str">
        <f>IF(HLOOKUP(AA$6,CHARMS!$A$6:$CQ$89,26,)&lt;&gt;0,HLOOKUP(AA$6,CHARMS!$A$6:$CQ$92,26,),"")</f>
        <v/>
      </c>
      <c r="AB47" s="111" t="str">
        <f>IF(HLOOKUP(AB$6,CHARMS!$A$6:$CQ$89,26,)&lt;&gt;0,HLOOKUP(AB$6,CHARMS!$A$6:$CQ$92,26,),"")</f>
        <v/>
      </c>
      <c r="AC47" s="111" t="str">
        <f>IF(HLOOKUP(AC$6,CHARMS!$A$6:$CQ$89,26,)&lt;&gt;0,HLOOKUP(AC$6,CHARMS!$A$6:$CQ$92,26,),"")</f>
        <v/>
      </c>
      <c r="AD47" s="111" t="str">
        <f>IF(HLOOKUP(AD$6,CHARMS!$A$6:$CQ$89,26,)&lt;&gt;0,HLOOKUP(AD$6,CHARMS!$A$6:$CQ$92,26,),"")</f>
        <v/>
      </c>
      <c r="AE47" s="111" t="str">
        <f>IF(HLOOKUP(AE$6,CHARMS!$A$6:$CQ$89,26,)&lt;&gt;0,HLOOKUP(AE$6,CHARMS!$A$6:$CQ$92,26,),"")</f>
        <v/>
      </c>
    </row>
    <row r="48" spans="1:31" s="83" customFormat="1" ht="15" customHeight="1" x14ac:dyDescent="0.25">
      <c r="A48" s="110" t="s">
        <v>339</v>
      </c>
      <c r="B48" s="111" t="str">
        <f>IF(HLOOKUP(B$6,CHARMS!$A$6:$CQ$89,27,)&lt;&gt;0,HLOOKUP(B$6,CHARMS!$A$6:$CQ$89,27,),"")</f>
        <v>Yes</v>
      </c>
      <c r="C48" s="111" t="str">
        <f>IF(HLOOKUP(C$6,CHARMS!$A$6:$CQ$89,27,)&lt;&gt;0,HLOOKUP(C$6,CHARMS!$A$6:$CQ$89,27,),"")</f>
        <v>Yes</v>
      </c>
      <c r="D48" s="111" t="str">
        <f>IF(HLOOKUP(D$6,CHARMS!$A$6:$CQ$89,27,)&lt;&gt;0,HLOOKUP(D$6,CHARMS!$A$6:$CQ$89,27,),"")</f>
        <v>Yes</v>
      </c>
      <c r="E48" s="111" t="str">
        <f>IF(HLOOKUP(E$6,CHARMS!$A$6:$CQ$89,27,)&lt;&gt;0,HLOOKUP(E$6,CHARMS!$A$6:$CQ$89,27,),"")</f>
        <v>Yes</v>
      </c>
      <c r="F48" s="111" t="str">
        <f>IF(HLOOKUP(F$6,CHARMS!$A$6:$CQ$89,27,)&lt;&gt;0,HLOOKUP(F$6,CHARMS!$A$6:$CQ$89,27,),"")</f>
        <v>Yes</v>
      </c>
      <c r="G48" s="111" t="str">
        <f>IF(HLOOKUP(G$6,CHARMS!$A$6:$CQ$89,27,)&lt;&gt;0,HLOOKUP(G$6,CHARMS!$A$6:$CQ$89,27,),"")</f>
        <v>Yes</v>
      </c>
      <c r="H48" s="111" t="str">
        <f>IF(HLOOKUP(H$6,CHARMS!$A$6:$CQ$89,27,)&lt;&gt;0,HLOOKUP(H$6,CHARMS!$A$6:$CQ$89,27,),"")</f>
        <v>Yes</v>
      </c>
      <c r="I48" s="111" t="str">
        <f>IF(HLOOKUP(I$6,CHARMS!$A$6:$CQ$89,27,)&lt;&gt;0,HLOOKUP(I$6,CHARMS!$A$6:$CQ$89,27,),"")</f>
        <v>Yes</v>
      </c>
      <c r="J48" s="111" t="str">
        <f>IF(HLOOKUP(J$6,CHARMS!$A$6:$CQ$89,27,)&lt;&gt;0,HLOOKUP(J$6,CHARMS!$A$6:$CQ$89,27,),"")</f>
        <v>Yes</v>
      </c>
      <c r="K48" s="111" t="str">
        <f>IF(HLOOKUP(K$6,CHARMS!$A$6:$CQ$89,27,)&lt;&gt;0,HLOOKUP(K$6,CHARMS!$A$6:$CQ$89,27,),"")</f>
        <v>Yes</v>
      </c>
      <c r="L48" s="111" t="str">
        <f>IF(HLOOKUP(L$6,CHARMS!$A$6:$CQ$89,27,)&lt;&gt;0,HLOOKUP(L$6,CHARMS!$A$6:$CQ$89,27,),"")</f>
        <v>Yes</v>
      </c>
      <c r="M48" s="111" t="str">
        <f>IF(HLOOKUP(M$6,CHARMS!$A$6:$CQ$89,27,)&lt;&gt;0,HLOOKUP(M$6,CHARMS!$A$6:$CQ$89,27,),"")</f>
        <v/>
      </c>
      <c r="N48" s="111" t="str">
        <f>IF(HLOOKUP(N$6,CHARMS!$A$6:$CQ$89,27,)&lt;&gt;0,HLOOKUP(N$6,CHARMS!$A$6:$CQ$89,27,),"")</f>
        <v/>
      </c>
      <c r="O48" s="111" t="str">
        <f>IF(HLOOKUP(O$6,CHARMS!$A$6:$CQ$89,27,)&lt;&gt;0,HLOOKUP(O$6,CHARMS!$A$6:$CQ$89,27,),"")</f>
        <v/>
      </c>
      <c r="P48" s="111" t="str">
        <f>IF(HLOOKUP(P$6,CHARMS!$A$6:$CQ$89,27,)&lt;&gt;0,HLOOKUP(P$6,CHARMS!$A$6:$CQ$89,27,),"")</f>
        <v/>
      </c>
      <c r="Q48" s="111" t="str">
        <f>IF(HLOOKUP(Q$6,CHARMS!$A$6:$CQ$89,27,)&lt;&gt;0,HLOOKUP(Q$6,CHARMS!$A$6:$CQ$89,27,),"")</f>
        <v/>
      </c>
      <c r="R48" s="111" t="str">
        <f>IF(HLOOKUP(R$6,CHARMS!$A$6:$CQ$89,27,)&lt;&gt;0,HLOOKUP(R$6,CHARMS!$A$6:$CQ$89,27,),"")</f>
        <v/>
      </c>
      <c r="S48" s="111" t="str">
        <f>IF(HLOOKUP(S$6,CHARMS!$A$6:$CQ$89,27,)&lt;&gt;0,HLOOKUP(S$6,CHARMS!$A$6:$CQ$89,27,),"")</f>
        <v/>
      </c>
      <c r="T48" s="111" t="str">
        <f>IF(HLOOKUP(T$6,CHARMS!$A$6:$CQ$89,27,)&lt;&gt;0,HLOOKUP(T$6,CHARMS!$A$6:$CQ$89,27,),"")</f>
        <v/>
      </c>
      <c r="U48" s="111" t="str">
        <f>IF(HLOOKUP(U$6,CHARMS!$A$6:$CQ$89,27,)&lt;&gt;0,HLOOKUP(U$6,CHARMS!$A$6:$CQ$89,27,),"")</f>
        <v/>
      </c>
      <c r="V48" s="111" t="str">
        <f>IF(HLOOKUP(V$6,CHARMS!$A$6:$CQ$89,27,)&lt;&gt;0,HLOOKUP(V$6,CHARMS!$A$6:$CQ$89,27,),"")</f>
        <v/>
      </c>
      <c r="W48" s="111" t="str">
        <f>IF(HLOOKUP(W$6,CHARMS!$A$6:$CQ$89,27,)&lt;&gt;0,HLOOKUP(W$6,CHARMS!$A$6:$CQ$89,27,),"")</f>
        <v/>
      </c>
      <c r="X48" s="111" t="str">
        <f>IF(HLOOKUP(X$6,CHARMS!$A$6:$CQ$89,27,)&lt;&gt;0,HLOOKUP(X$6,CHARMS!$A$6:$CQ$89,27,),"")</f>
        <v/>
      </c>
      <c r="Y48" s="111" t="str">
        <f>IF(HLOOKUP(Y$6,CHARMS!$A$6:$CQ$89,27,)&lt;&gt;0,HLOOKUP(Y$6,CHARMS!$A$6:$CQ$89,27,),"")</f>
        <v/>
      </c>
      <c r="Z48" s="111" t="str">
        <f>IF(HLOOKUP(Z$6,CHARMS!$A$6:$CQ$89,27,)&lt;&gt;0,HLOOKUP(Z$6,CHARMS!$A$6:$CQ$89,27,),"")</f>
        <v/>
      </c>
      <c r="AA48" s="111" t="str">
        <f>IF(HLOOKUP(AA$6,CHARMS!$A$6:$CQ$89,27,)&lt;&gt;0,HLOOKUP(AA$6,CHARMS!$A$6:$CQ$89,27,),"")</f>
        <v/>
      </c>
      <c r="AB48" s="111" t="str">
        <f>IF(HLOOKUP(AB$6,CHARMS!$A$6:$CQ$89,27,)&lt;&gt;0,HLOOKUP(AB$6,CHARMS!$A$6:$CQ$89,27,),"")</f>
        <v/>
      </c>
      <c r="AC48" s="111" t="str">
        <f>IF(HLOOKUP(AC$6,CHARMS!$A$6:$CQ$89,27,)&lt;&gt;0,HLOOKUP(AC$6,CHARMS!$A$6:$CQ$89,27,),"")</f>
        <v/>
      </c>
      <c r="AD48" s="111" t="str">
        <f>IF(HLOOKUP(AD$6,CHARMS!$A$6:$CQ$89,27,)&lt;&gt;0,HLOOKUP(AD$6,CHARMS!$A$6:$CQ$89,27,),"")</f>
        <v/>
      </c>
      <c r="AE48" s="111" t="str">
        <f>IF(HLOOKUP(AE$6,CHARMS!$A$6:$CQ$89,27,)&lt;&gt;0,HLOOKUP(AE$6,CHARMS!$A$6:$CQ$89,27,),"")</f>
        <v/>
      </c>
    </row>
    <row r="49" spans="1:31" s="83" customFormat="1" ht="15" customHeight="1" x14ac:dyDescent="0.25">
      <c r="A49" s="110" t="s">
        <v>340</v>
      </c>
      <c r="B49" s="111" t="str">
        <f>IF(HLOOKUP(B$6,CHARMS!$A$6:$CQ$89,29,)&lt;&gt;0,HLOOKUP(B$6,CHARMS!$A$6:$CQ$89,29,),"")</f>
        <v>Unclear</v>
      </c>
      <c r="C49" s="111" t="str">
        <f>IF(HLOOKUP(C$6,CHARMS!$A$6:$CQ$89,29,)&lt;&gt;0,HLOOKUP(C$6,CHARMS!$A$6:$CQ$89,29,),"")</f>
        <v>Unclear</v>
      </c>
      <c r="D49" s="111" t="str">
        <f>IF(HLOOKUP(D$6,CHARMS!$A$6:$CQ$89,29,)&lt;&gt;0,HLOOKUP(D$6,CHARMS!$A$6:$CQ$89,29,),"")</f>
        <v>Unclear</v>
      </c>
      <c r="E49" s="111" t="str">
        <f>IF(HLOOKUP(E$6,CHARMS!$A$6:$CQ$89,29,)&lt;&gt;0,HLOOKUP(E$6,CHARMS!$A$6:$CQ$89,29,),"")</f>
        <v>Unclear</v>
      </c>
      <c r="F49" s="111" t="str">
        <f>IF(HLOOKUP(F$6,CHARMS!$A$6:$CQ$89,29,)&lt;&gt;0,HLOOKUP(F$6,CHARMS!$A$6:$CQ$89,29,),"")</f>
        <v>Unclear</v>
      </c>
      <c r="G49" s="111" t="str">
        <f>IF(HLOOKUP(G$6,CHARMS!$A$6:$CQ$89,29,)&lt;&gt;0,HLOOKUP(G$6,CHARMS!$A$6:$CQ$89,29,),"")</f>
        <v>Unclear</v>
      </c>
      <c r="H49" s="111" t="str">
        <f>IF(HLOOKUP(H$6,CHARMS!$A$6:$CQ$89,29,)&lt;&gt;0,HLOOKUP(H$6,CHARMS!$A$6:$CQ$89,29,),"")</f>
        <v>Unclear</v>
      </c>
      <c r="I49" s="111" t="str">
        <f>IF(HLOOKUP(I$6,CHARMS!$A$6:$CQ$89,29,)&lt;&gt;0,HLOOKUP(I$6,CHARMS!$A$6:$CQ$89,29,),"")</f>
        <v>Unclear</v>
      </c>
      <c r="J49" s="111" t="str">
        <f>IF(HLOOKUP(J$6,CHARMS!$A$6:$CQ$89,29,)&lt;&gt;0,HLOOKUP(J$6,CHARMS!$A$6:$CQ$89,29,),"")</f>
        <v>Unclear</v>
      </c>
      <c r="K49" s="111" t="str">
        <f>IF(HLOOKUP(K$6,CHARMS!$A$6:$CQ$89,29,)&lt;&gt;0,HLOOKUP(K$6,CHARMS!$A$6:$CQ$89,29,),"")</f>
        <v>Unclear</v>
      </c>
      <c r="L49" s="111" t="str">
        <f>IF(HLOOKUP(L$6,CHARMS!$A$6:$CQ$89,29,)&lt;&gt;0,HLOOKUP(L$6,CHARMS!$A$6:$CQ$89,29,),"")</f>
        <v>Unclear</v>
      </c>
      <c r="M49" s="111" t="str">
        <f>IF(HLOOKUP(M$6,CHARMS!$A$6:$CQ$89,29,)&lt;&gt;0,HLOOKUP(M$6,CHARMS!$A$6:$CQ$89,29,),"")</f>
        <v/>
      </c>
      <c r="N49" s="111" t="str">
        <f>IF(HLOOKUP(N$6,CHARMS!$A$6:$CQ$89,29,)&lt;&gt;0,HLOOKUP(N$6,CHARMS!$A$6:$CQ$89,29,),"")</f>
        <v/>
      </c>
      <c r="O49" s="111" t="str">
        <f>IF(HLOOKUP(O$6,CHARMS!$A$6:$CQ$89,29,)&lt;&gt;0,HLOOKUP(O$6,CHARMS!$A$6:$CQ$89,29,),"")</f>
        <v/>
      </c>
      <c r="P49" s="111" t="str">
        <f>IF(HLOOKUP(P$6,CHARMS!$A$6:$CQ$89,29,)&lt;&gt;0,HLOOKUP(P$6,CHARMS!$A$6:$CQ$89,29,),"")</f>
        <v/>
      </c>
      <c r="Q49" s="111" t="str">
        <f>IF(HLOOKUP(Q$6,CHARMS!$A$6:$CQ$89,29,)&lt;&gt;0,HLOOKUP(Q$6,CHARMS!$A$6:$CQ$89,29,),"")</f>
        <v/>
      </c>
      <c r="R49" s="111" t="str">
        <f>IF(HLOOKUP(R$6,CHARMS!$A$6:$CQ$89,29,)&lt;&gt;0,HLOOKUP(R$6,CHARMS!$A$6:$CQ$89,29,),"")</f>
        <v/>
      </c>
      <c r="S49" s="111" t="str">
        <f>IF(HLOOKUP(S$6,CHARMS!$A$6:$CQ$89,29,)&lt;&gt;0,HLOOKUP(S$6,CHARMS!$A$6:$CQ$89,29,),"")</f>
        <v/>
      </c>
      <c r="T49" s="111" t="str">
        <f>IF(HLOOKUP(T$6,CHARMS!$A$6:$CQ$89,29,)&lt;&gt;0,HLOOKUP(T$6,CHARMS!$A$6:$CQ$89,29,),"")</f>
        <v/>
      </c>
      <c r="U49" s="111" t="str">
        <f>IF(HLOOKUP(U$6,CHARMS!$A$6:$CQ$89,29,)&lt;&gt;0,HLOOKUP(U$6,CHARMS!$A$6:$CQ$89,29,),"")</f>
        <v/>
      </c>
      <c r="V49" s="111" t="str">
        <f>IF(HLOOKUP(V$6,CHARMS!$A$6:$CQ$89,29,)&lt;&gt;0,HLOOKUP(V$6,CHARMS!$A$6:$CQ$89,29,),"")</f>
        <v/>
      </c>
      <c r="W49" s="111" t="str">
        <f>IF(HLOOKUP(W$6,CHARMS!$A$6:$CQ$89,29,)&lt;&gt;0,HLOOKUP(W$6,CHARMS!$A$6:$CQ$89,29,),"")</f>
        <v/>
      </c>
      <c r="X49" s="111" t="str">
        <f>IF(HLOOKUP(X$6,CHARMS!$A$6:$CQ$89,29,)&lt;&gt;0,HLOOKUP(X$6,CHARMS!$A$6:$CQ$89,29,),"")</f>
        <v/>
      </c>
      <c r="Y49" s="111" t="str">
        <f>IF(HLOOKUP(Y$6,CHARMS!$A$6:$CQ$89,29,)&lt;&gt;0,HLOOKUP(Y$6,CHARMS!$A$6:$CQ$89,29,),"")</f>
        <v/>
      </c>
      <c r="Z49" s="111" t="str">
        <f>IF(HLOOKUP(Z$6,CHARMS!$A$6:$CQ$89,29,)&lt;&gt;0,HLOOKUP(Z$6,CHARMS!$A$6:$CQ$89,29,),"")</f>
        <v/>
      </c>
      <c r="AA49" s="111" t="str">
        <f>IF(HLOOKUP(AA$6,CHARMS!$A$6:$CQ$89,29,)&lt;&gt;0,HLOOKUP(AA$6,CHARMS!$A$6:$CQ$89,29,),"")</f>
        <v/>
      </c>
      <c r="AB49" s="111" t="str">
        <f>IF(HLOOKUP(AB$6,CHARMS!$A$6:$CQ$89,29,)&lt;&gt;0,HLOOKUP(AB$6,CHARMS!$A$6:$CQ$89,29,),"")</f>
        <v/>
      </c>
      <c r="AC49" s="111" t="str">
        <f>IF(HLOOKUP(AC$6,CHARMS!$A$6:$CQ$89,29,)&lt;&gt;0,HLOOKUP(AC$6,CHARMS!$A$6:$CQ$89,29,),"")</f>
        <v/>
      </c>
      <c r="AD49" s="111" t="str">
        <f>IF(HLOOKUP(AD$6,CHARMS!$A$6:$CQ$89,29,)&lt;&gt;0,HLOOKUP(AD$6,CHARMS!$A$6:$CQ$89,29,),"")</f>
        <v/>
      </c>
      <c r="AE49" s="111" t="str">
        <f>IF(HLOOKUP(AE$6,CHARMS!$A$6:$CQ$89,29,)&lt;&gt;0,HLOOKUP(AE$6,CHARMS!$A$6:$CQ$89,29,),"")</f>
        <v/>
      </c>
    </row>
    <row r="50" spans="1:31" s="83" customFormat="1" ht="15" customHeight="1" x14ac:dyDescent="0.25">
      <c r="A50" s="110" t="s">
        <v>341</v>
      </c>
      <c r="B50" s="111" t="str">
        <f>IF(HLOOKUP(B$6,CHARMS!$A$6:$CQ$89,30,)&lt;&gt;0,HLOOKUP(B$6,CHARMS!$A$6:$CQ$89,30,),"")</f>
        <v>No</v>
      </c>
      <c r="C50" s="111" t="str">
        <f>IF(HLOOKUP(C$6,CHARMS!$A$6:$CQ$89,30,)&lt;&gt;0,HLOOKUP(C$6,CHARMS!$A$6:$CQ$89,30,),"")</f>
        <v>No</v>
      </c>
      <c r="D50" s="111" t="str">
        <f>IF(HLOOKUP(D$6,CHARMS!$A$6:$CQ$89,30,)&lt;&gt;0,HLOOKUP(D$6,CHARMS!$A$6:$CQ$89,30,),"")</f>
        <v>No</v>
      </c>
      <c r="E50" s="111" t="str">
        <f>IF(HLOOKUP(E$6,CHARMS!$A$6:$CQ$89,30,)&lt;&gt;0,HLOOKUP(E$6,CHARMS!$A$6:$CQ$89,30,),"")</f>
        <v>No information</v>
      </c>
      <c r="F50" s="111" t="str">
        <f>IF(HLOOKUP(F$6,CHARMS!$A$6:$CQ$89,30,)&lt;&gt;0,HLOOKUP(F$6,CHARMS!$A$6:$CQ$89,30,),"")</f>
        <v>No</v>
      </c>
      <c r="G50" s="111" t="str">
        <f>IF(HLOOKUP(G$6,CHARMS!$A$6:$CQ$89,30,)&lt;&gt;0,HLOOKUP(G$6,CHARMS!$A$6:$CQ$89,30,),"")</f>
        <v>No</v>
      </c>
      <c r="H50" s="111" t="str">
        <f>IF(HLOOKUP(H$6,CHARMS!$A$6:$CQ$89,30,)&lt;&gt;0,HLOOKUP(H$6,CHARMS!$A$6:$CQ$89,30,),"")</f>
        <v>No information</v>
      </c>
      <c r="I50" s="111" t="str">
        <f>IF(HLOOKUP(I$6,CHARMS!$A$6:$CQ$89,30,)&lt;&gt;0,HLOOKUP(I$6,CHARMS!$A$6:$CQ$89,30,),"")</f>
        <v>No</v>
      </c>
      <c r="J50" s="111" t="str">
        <f>IF(HLOOKUP(J$6,CHARMS!$A$6:$CQ$89,30,)&lt;&gt;0,HLOOKUP(J$6,CHARMS!$A$6:$CQ$89,30,),"")</f>
        <v>No</v>
      </c>
      <c r="K50" s="111" t="str">
        <f>IF(HLOOKUP(K$6,CHARMS!$A$6:$CQ$89,30,)&lt;&gt;0,HLOOKUP(K$6,CHARMS!$A$6:$CQ$89,30,),"")</f>
        <v>No</v>
      </c>
      <c r="L50" s="111" t="str">
        <f>IF(HLOOKUP(L$6,CHARMS!$A$6:$CQ$89,30,)&lt;&gt;0,HLOOKUP(L$6,CHARMS!$A$6:$CQ$89,30,),"")</f>
        <v>No</v>
      </c>
      <c r="M50" s="111" t="str">
        <f>IF(HLOOKUP(M$6,CHARMS!$A$6:$CQ$89,30,)&lt;&gt;0,HLOOKUP(M$6,CHARMS!$A$6:$CQ$89,30,),"")</f>
        <v/>
      </c>
      <c r="N50" s="111" t="str">
        <f>IF(HLOOKUP(N$6,CHARMS!$A$6:$CQ$89,30,)&lt;&gt;0,HLOOKUP(N$6,CHARMS!$A$6:$CQ$89,30,),"")</f>
        <v/>
      </c>
      <c r="O50" s="111" t="str">
        <f>IF(HLOOKUP(O$6,CHARMS!$A$6:$CQ$89,30,)&lt;&gt;0,HLOOKUP(O$6,CHARMS!$A$6:$CQ$89,30,),"")</f>
        <v/>
      </c>
      <c r="P50" s="111" t="str">
        <f>IF(HLOOKUP(P$6,CHARMS!$A$6:$CQ$89,30,)&lt;&gt;0,HLOOKUP(P$6,CHARMS!$A$6:$CQ$89,30,),"")</f>
        <v/>
      </c>
      <c r="Q50" s="111" t="str">
        <f>IF(HLOOKUP(Q$6,CHARMS!$A$6:$CQ$89,30,)&lt;&gt;0,HLOOKUP(Q$6,CHARMS!$A$6:$CQ$89,30,),"")</f>
        <v/>
      </c>
      <c r="R50" s="111" t="str">
        <f>IF(HLOOKUP(R$6,CHARMS!$A$6:$CQ$89,30,)&lt;&gt;0,HLOOKUP(R$6,CHARMS!$A$6:$CQ$89,30,),"")</f>
        <v/>
      </c>
      <c r="S50" s="111" t="str">
        <f>IF(HLOOKUP(S$6,CHARMS!$A$6:$CQ$89,30,)&lt;&gt;0,HLOOKUP(S$6,CHARMS!$A$6:$CQ$89,30,),"")</f>
        <v/>
      </c>
      <c r="T50" s="111" t="str">
        <f>IF(HLOOKUP(T$6,CHARMS!$A$6:$CQ$89,30,)&lt;&gt;0,HLOOKUP(T$6,CHARMS!$A$6:$CQ$89,30,),"")</f>
        <v/>
      </c>
      <c r="U50" s="111" t="str">
        <f>IF(HLOOKUP(U$6,CHARMS!$A$6:$CQ$89,30,)&lt;&gt;0,HLOOKUP(U$6,CHARMS!$A$6:$CQ$89,30,),"")</f>
        <v/>
      </c>
      <c r="V50" s="111" t="str">
        <f>IF(HLOOKUP(V$6,CHARMS!$A$6:$CQ$89,30,)&lt;&gt;0,HLOOKUP(V$6,CHARMS!$A$6:$CQ$89,30,),"")</f>
        <v/>
      </c>
      <c r="W50" s="111" t="str">
        <f>IF(HLOOKUP(W$6,CHARMS!$A$6:$CQ$89,30,)&lt;&gt;0,HLOOKUP(W$6,CHARMS!$A$6:$CQ$89,30,),"")</f>
        <v/>
      </c>
      <c r="X50" s="111" t="str">
        <f>IF(HLOOKUP(X$6,CHARMS!$A$6:$CQ$89,30,)&lt;&gt;0,HLOOKUP(X$6,CHARMS!$A$6:$CQ$89,30,),"")</f>
        <v/>
      </c>
      <c r="Y50" s="111" t="str">
        <f>IF(HLOOKUP(Y$6,CHARMS!$A$6:$CQ$89,30,)&lt;&gt;0,HLOOKUP(Y$6,CHARMS!$A$6:$CQ$89,30,),"")</f>
        <v/>
      </c>
      <c r="Z50" s="111" t="str">
        <f>IF(HLOOKUP(Z$6,CHARMS!$A$6:$CQ$89,30,)&lt;&gt;0,HLOOKUP(Z$6,CHARMS!$A$6:$CQ$89,30,),"")</f>
        <v/>
      </c>
      <c r="AA50" s="111" t="str">
        <f>IF(HLOOKUP(AA$6,CHARMS!$A$6:$CQ$89,30,)&lt;&gt;0,HLOOKUP(AA$6,CHARMS!$A$6:$CQ$89,30,),"")</f>
        <v/>
      </c>
      <c r="AB50" s="111" t="str">
        <f>IF(HLOOKUP(AB$6,CHARMS!$A$6:$CQ$89,30,)&lt;&gt;0,HLOOKUP(AB$6,CHARMS!$A$6:$CQ$89,30,),"")</f>
        <v/>
      </c>
      <c r="AC50" s="111" t="str">
        <f>IF(HLOOKUP(AC$6,CHARMS!$A$6:$CQ$89,30,)&lt;&gt;0,HLOOKUP(AC$6,CHARMS!$A$6:$CQ$89,30,),"")</f>
        <v/>
      </c>
      <c r="AD50" s="111" t="str">
        <f>IF(HLOOKUP(AD$6,CHARMS!$A$6:$CQ$89,30,)&lt;&gt;0,HLOOKUP(AD$6,CHARMS!$A$6:$CQ$89,30,),"")</f>
        <v/>
      </c>
      <c r="AE50" s="111" t="str">
        <f>IF(HLOOKUP(AE$6,CHARMS!$A$6:$CQ$89,30,)&lt;&gt;0,HLOOKUP(AE$6,CHARMS!$A$6:$CQ$89,30,),"")</f>
        <v/>
      </c>
    </row>
    <row r="51" spans="1:31" s="83" customFormat="1" ht="15" customHeight="1" x14ac:dyDescent="0.25">
      <c r="A51" s="112" t="s">
        <v>342</v>
      </c>
      <c r="B51" s="113" t="str">
        <f>IF(HLOOKUP(B$6,CHARMS!$A$6:$CQ$89,31,)&lt;&gt;0,HLOOKUP(B$6,CHARMS!$A$6:$CQ$89,31,),"")</f>
        <v>30 days or lenght of hospital stay</v>
      </c>
      <c r="C51" s="113" t="str">
        <f>IF(HLOOKUP(C$6,CHARMS!$A$6:$CQ$89,31,)&lt;&gt;0,HLOOKUP(C$6,CHARMS!$A$6:$CQ$89,31,),"")</f>
        <v>30 days or lenght of hospital stay</v>
      </c>
      <c r="D51" s="113" t="str">
        <f>IF(HLOOKUP(D$6,CHARMS!$A$6:$CQ$89,31,)&lt;&gt;0,HLOOKUP(D$6,CHARMS!$A$6:$CQ$89,31,),"")</f>
        <v>Lenght of hospital stay</v>
      </c>
      <c r="E51" s="113" t="str">
        <f>IF(HLOOKUP(E$6,CHARMS!$A$6:$CQ$89,31,)&lt;&gt;0,HLOOKUP(E$6,CHARMS!$A$6:$CQ$89,31,),"")</f>
        <v>30 days or lenght of hospital stay</v>
      </c>
      <c r="F51" s="113" t="str">
        <f>IF(HLOOKUP(F$6,CHARMS!$A$6:$CQ$89,31,)&lt;&gt;0,HLOOKUP(F$6,CHARMS!$A$6:$CQ$89,31,),"")</f>
        <v>Lenght of hospital stay</v>
      </c>
      <c r="G51" s="113" t="str">
        <f>IF(HLOOKUP(G$6,CHARMS!$A$6:$CQ$89,31,)&lt;&gt;0,HLOOKUP(G$6,CHARMS!$A$6:$CQ$89,31,),"")</f>
        <v>Lenght of hospital stay</v>
      </c>
      <c r="H51" s="113" t="str">
        <f>IF(HLOOKUP(H$6,CHARMS!$A$6:$CQ$89,31,)&lt;&gt;0,HLOOKUP(H$6,CHARMS!$A$6:$CQ$89,31,),"")</f>
        <v>30 days</v>
      </c>
      <c r="I51" s="113" t="str">
        <f>IF(HLOOKUP(I$6,CHARMS!$A$6:$CQ$89,31,)&lt;&gt;0,HLOOKUP(I$6,CHARMS!$A$6:$CQ$89,31,),"")</f>
        <v>Lenght of hospital stay</v>
      </c>
      <c r="J51" s="113" t="str">
        <f>IF(HLOOKUP(J$6,CHARMS!$A$6:$CQ$89,31,)&lt;&gt;0,HLOOKUP(J$6,CHARMS!$A$6:$CQ$89,31,),"")</f>
        <v>Lenght of hospital stay</v>
      </c>
      <c r="K51" s="113" t="str">
        <f>IF(HLOOKUP(K$6,CHARMS!$A$6:$CQ$89,31,)&lt;&gt;0,HLOOKUP(K$6,CHARMS!$A$6:$CQ$89,31,),"")</f>
        <v>30 days</v>
      </c>
      <c r="L51" s="113" t="str">
        <f>IF(HLOOKUP(L$6,CHARMS!$A$6:$CQ$89,31,)&lt;&gt;0,HLOOKUP(L$6,CHARMS!$A$6:$CQ$89,31,),"")</f>
        <v>30 days</v>
      </c>
      <c r="M51" s="113" t="str">
        <f>IF(HLOOKUP(M$6,CHARMS!$A$6:$CQ$89,31,)&lt;&gt;0,HLOOKUP(M$6,CHARMS!$A$6:$CQ$89,31,),"")</f>
        <v/>
      </c>
      <c r="N51" s="113" t="str">
        <f>IF(HLOOKUP(N$6,CHARMS!$A$6:$CQ$89,31,)&lt;&gt;0,HLOOKUP(N$6,CHARMS!$A$6:$CQ$89,31,),"")</f>
        <v/>
      </c>
      <c r="O51" s="113" t="str">
        <f>IF(HLOOKUP(O$6,CHARMS!$A$6:$CQ$89,31,)&lt;&gt;0,HLOOKUP(O$6,CHARMS!$A$6:$CQ$89,31,),"")</f>
        <v/>
      </c>
      <c r="P51" s="113" t="str">
        <f>IF(HLOOKUP(P$6,CHARMS!$A$6:$CQ$89,31,)&lt;&gt;0,HLOOKUP(P$6,CHARMS!$A$6:$CQ$89,31,),"")</f>
        <v/>
      </c>
      <c r="Q51" s="113" t="str">
        <f>IF(HLOOKUP(Q$6,CHARMS!$A$6:$CQ$89,31,)&lt;&gt;0,HLOOKUP(Q$6,CHARMS!$A$6:$CQ$89,31,),"")</f>
        <v/>
      </c>
      <c r="R51" s="113" t="str">
        <f>IF(HLOOKUP(R$6,CHARMS!$A$6:$CQ$89,31,)&lt;&gt;0,HLOOKUP(R$6,CHARMS!$A$6:$CQ$89,31,),"")</f>
        <v/>
      </c>
      <c r="S51" s="113" t="str">
        <f>IF(HLOOKUP(S$6,CHARMS!$A$6:$CQ$89,31,)&lt;&gt;0,HLOOKUP(S$6,CHARMS!$A$6:$CQ$89,31,),"")</f>
        <v/>
      </c>
      <c r="T51" s="113" t="str">
        <f>IF(HLOOKUP(T$6,CHARMS!$A$6:$CQ$89,31,)&lt;&gt;0,HLOOKUP(T$6,CHARMS!$A$6:$CQ$89,31,),"")</f>
        <v/>
      </c>
      <c r="U51" s="113" t="str">
        <f>IF(HLOOKUP(U$6,CHARMS!$A$6:$CQ$89,31,)&lt;&gt;0,HLOOKUP(U$6,CHARMS!$A$6:$CQ$89,31,),"")</f>
        <v/>
      </c>
      <c r="V51" s="113" t="str">
        <f>IF(HLOOKUP(V$6,CHARMS!$A$6:$CQ$89,31,)&lt;&gt;0,HLOOKUP(V$6,CHARMS!$A$6:$CQ$89,31,),"")</f>
        <v/>
      </c>
      <c r="W51" s="113" t="str">
        <f>IF(HLOOKUP(W$6,CHARMS!$A$6:$CQ$89,31,)&lt;&gt;0,HLOOKUP(W$6,CHARMS!$A$6:$CQ$89,31,),"")</f>
        <v/>
      </c>
      <c r="X51" s="113" t="str">
        <f>IF(HLOOKUP(X$6,CHARMS!$A$6:$CQ$89,31,)&lt;&gt;0,HLOOKUP(X$6,CHARMS!$A$6:$CQ$89,31,),"")</f>
        <v/>
      </c>
      <c r="Y51" s="113" t="str">
        <f>IF(HLOOKUP(Y$6,CHARMS!$A$6:$CQ$89,31,)&lt;&gt;0,HLOOKUP(Y$6,CHARMS!$A$6:$CQ$89,31,),"")</f>
        <v/>
      </c>
      <c r="Z51" s="113" t="str">
        <f>IF(HLOOKUP(Z$6,CHARMS!$A$6:$CQ$89,31,)&lt;&gt;0,HLOOKUP(Z$6,CHARMS!$A$6:$CQ$89,31,),"")</f>
        <v/>
      </c>
      <c r="AA51" s="113" t="str">
        <f>IF(HLOOKUP(AA$6,CHARMS!$A$6:$CQ$89,31,)&lt;&gt;0,HLOOKUP(AA$6,CHARMS!$A$6:$CQ$89,31,),"")</f>
        <v/>
      </c>
      <c r="AB51" s="113" t="str">
        <f>IF(HLOOKUP(AB$6,CHARMS!$A$6:$CQ$89,31,)&lt;&gt;0,HLOOKUP(AB$6,CHARMS!$A$6:$CQ$89,31,),"")</f>
        <v/>
      </c>
      <c r="AC51" s="113" t="str">
        <f>IF(HLOOKUP(AC$6,CHARMS!$A$6:$CQ$89,31,)&lt;&gt;0,HLOOKUP(AC$6,CHARMS!$A$6:$CQ$89,31,),"")</f>
        <v/>
      </c>
      <c r="AD51" s="113" t="str">
        <f>IF(HLOOKUP(AD$6,CHARMS!$A$6:$CQ$89,31,)&lt;&gt;0,HLOOKUP(AD$6,CHARMS!$A$6:$CQ$89,31,),"")</f>
        <v/>
      </c>
      <c r="AE51" s="113" t="str">
        <f>IF(HLOOKUP(AE$6,CHARMS!$A$6:$CQ$89,31,)&lt;&gt;0,HLOOKUP(AE$6,CHARMS!$A$6:$CQ$89,31,),"")</f>
        <v/>
      </c>
    </row>
    <row r="52" spans="1:31" s="83" customFormat="1" ht="75" customHeight="1" x14ac:dyDescent="0.25">
      <c r="A52" s="114" t="s">
        <v>312</v>
      </c>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row>
    <row r="53" spans="1:31" ht="18.75" customHeight="1" x14ac:dyDescent="0.25">
      <c r="A53" s="94" t="s">
        <v>343</v>
      </c>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row>
    <row r="54" spans="1:31" s="104" customFormat="1" ht="15" customHeight="1" x14ac:dyDescent="0.25">
      <c r="A54" s="103" t="s">
        <v>344</v>
      </c>
      <c r="B54" s="27" t="s">
        <v>168</v>
      </c>
      <c r="C54" s="27" t="s">
        <v>173</v>
      </c>
      <c r="D54" s="27" t="s">
        <v>298</v>
      </c>
      <c r="E54" s="27" t="s">
        <v>173</v>
      </c>
      <c r="F54" s="27" t="s">
        <v>173</v>
      </c>
      <c r="G54" s="27" t="s">
        <v>173</v>
      </c>
      <c r="H54" s="27" t="s">
        <v>297</v>
      </c>
      <c r="I54" s="27" t="s">
        <v>173</v>
      </c>
      <c r="J54" s="27" t="s">
        <v>173</v>
      </c>
      <c r="K54" s="27" t="s">
        <v>297</v>
      </c>
      <c r="L54" s="27" t="s">
        <v>297</v>
      </c>
      <c r="M54" s="27"/>
      <c r="N54" s="27"/>
      <c r="O54" s="27"/>
      <c r="P54" s="27"/>
      <c r="Q54" s="27"/>
      <c r="R54" s="27"/>
      <c r="S54" s="27"/>
      <c r="T54" s="27"/>
      <c r="U54" s="27"/>
      <c r="V54" s="27"/>
      <c r="W54" s="27"/>
      <c r="X54" s="27"/>
      <c r="Y54" s="27"/>
      <c r="Z54" s="27"/>
      <c r="AA54" s="27"/>
      <c r="AB54" s="27"/>
      <c r="AC54" s="27"/>
      <c r="AD54" s="27"/>
      <c r="AE54" s="27"/>
    </row>
    <row r="55" spans="1:31" s="104" customFormat="1" ht="15" customHeight="1" x14ac:dyDescent="0.25">
      <c r="A55" s="115" t="s">
        <v>345</v>
      </c>
      <c r="B55" s="30" t="s">
        <v>295</v>
      </c>
      <c r="C55" s="30" t="s">
        <v>173</v>
      </c>
      <c r="D55" s="30" t="s">
        <v>297</v>
      </c>
      <c r="E55" s="30" t="s">
        <v>297</v>
      </c>
      <c r="F55" s="30" t="s">
        <v>173</v>
      </c>
      <c r="G55" s="30" t="s">
        <v>173</v>
      </c>
      <c r="H55" s="30" t="s">
        <v>295</v>
      </c>
      <c r="I55" s="30" t="s">
        <v>173</v>
      </c>
      <c r="J55" s="30" t="s">
        <v>173</v>
      </c>
      <c r="K55" s="30" t="s">
        <v>295</v>
      </c>
      <c r="L55" s="30" t="s">
        <v>295</v>
      </c>
      <c r="M55" s="30"/>
      <c r="N55" s="30"/>
      <c r="O55" s="30"/>
      <c r="P55" s="30"/>
      <c r="Q55" s="30"/>
      <c r="R55" s="30"/>
      <c r="S55" s="30"/>
      <c r="T55" s="30"/>
      <c r="U55" s="30"/>
      <c r="V55" s="30"/>
      <c r="W55" s="30"/>
      <c r="X55" s="30"/>
      <c r="Y55" s="30"/>
      <c r="Z55" s="30"/>
      <c r="AA55" s="30"/>
      <c r="AB55" s="30"/>
      <c r="AC55" s="30"/>
      <c r="AD55" s="30"/>
      <c r="AE55" s="30"/>
    </row>
    <row r="56" spans="1:31" s="104" customFormat="1" ht="15" customHeight="1" x14ac:dyDescent="0.25">
      <c r="A56" s="115" t="s">
        <v>346</v>
      </c>
      <c r="B56" s="30" t="s">
        <v>297</v>
      </c>
      <c r="C56" s="30" t="s">
        <v>297</v>
      </c>
      <c r="D56" s="30" t="s">
        <v>295</v>
      </c>
      <c r="E56" s="30" t="s">
        <v>295</v>
      </c>
      <c r="F56" s="30" t="s">
        <v>298</v>
      </c>
      <c r="G56" s="30" t="s">
        <v>297</v>
      </c>
      <c r="H56" s="30" t="s">
        <v>295</v>
      </c>
      <c r="I56" s="30" t="s">
        <v>297</v>
      </c>
      <c r="J56" s="30" t="s">
        <v>173</v>
      </c>
      <c r="K56" s="30" t="s">
        <v>297</v>
      </c>
      <c r="L56" s="30" t="s">
        <v>297</v>
      </c>
      <c r="M56" s="30"/>
      <c r="N56" s="30"/>
      <c r="O56" s="30"/>
      <c r="P56" s="30"/>
      <c r="Q56" s="30"/>
      <c r="R56" s="30"/>
      <c r="S56" s="30"/>
      <c r="T56" s="30"/>
      <c r="U56" s="30"/>
      <c r="V56" s="30"/>
      <c r="W56" s="30"/>
      <c r="X56" s="30"/>
      <c r="Y56" s="30"/>
      <c r="Z56" s="30"/>
      <c r="AA56" s="30"/>
      <c r="AB56" s="30"/>
      <c r="AC56" s="30"/>
      <c r="AD56" s="30"/>
      <c r="AE56" s="30"/>
    </row>
    <row r="57" spans="1:31" s="104" customFormat="1" ht="15" customHeight="1" x14ac:dyDescent="0.25">
      <c r="A57" s="115" t="s">
        <v>347</v>
      </c>
      <c r="B57" s="30" t="s">
        <v>297</v>
      </c>
      <c r="C57" s="30" t="s">
        <v>298</v>
      </c>
      <c r="D57" s="30" t="s">
        <v>298</v>
      </c>
      <c r="E57" s="30" t="s">
        <v>298</v>
      </c>
      <c r="F57" s="30" t="s">
        <v>298</v>
      </c>
      <c r="G57" s="30" t="s">
        <v>298</v>
      </c>
      <c r="H57" s="30" t="s">
        <v>298</v>
      </c>
      <c r="I57" s="30" t="s">
        <v>298</v>
      </c>
      <c r="J57" s="30" t="s">
        <v>298</v>
      </c>
      <c r="K57" s="30" t="s">
        <v>298</v>
      </c>
      <c r="L57" s="30" t="s">
        <v>298</v>
      </c>
      <c r="M57" s="30"/>
      <c r="N57" s="30"/>
      <c r="O57" s="30"/>
      <c r="P57" s="30"/>
      <c r="Q57" s="30"/>
      <c r="R57" s="30"/>
      <c r="S57" s="30"/>
      <c r="T57" s="30"/>
      <c r="U57" s="30"/>
      <c r="V57" s="30"/>
      <c r="W57" s="30"/>
      <c r="X57" s="30"/>
      <c r="Y57" s="30"/>
      <c r="Z57" s="30"/>
      <c r="AA57" s="30"/>
      <c r="AB57" s="30"/>
      <c r="AC57" s="30"/>
      <c r="AD57" s="30"/>
      <c r="AE57" s="30"/>
    </row>
    <row r="58" spans="1:31" s="104" customFormat="1" ht="15" customHeight="1" x14ac:dyDescent="0.25">
      <c r="A58" s="115" t="s">
        <v>348</v>
      </c>
      <c r="B58" s="30" t="s">
        <v>173</v>
      </c>
      <c r="C58" s="30" t="s">
        <v>173</v>
      </c>
      <c r="D58" s="30" t="s">
        <v>173</v>
      </c>
      <c r="E58" s="30" t="s">
        <v>173</v>
      </c>
      <c r="F58" s="30" t="s">
        <v>173</v>
      </c>
      <c r="G58" s="30" t="s">
        <v>173</v>
      </c>
      <c r="H58" s="30" t="s">
        <v>173</v>
      </c>
      <c r="I58" s="30" t="s">
        <v>173</v>
      </c>
      <c r="J58" s="30" t="s">
        <v>173</v>
      </c>
      <c r="K58" s="30" t="s">
        <v>168</v>
      </c>
      <c r="L58" s="30" t="s">
        <v>168</v>
      </c>
      <c r="M58" s="30"/>
      <c r="N58" s="30"/>
      <c r="O58" s="30"/>
      <c r="P58" s="30"/>
      <c r="Q58" s="30"/>
      <c r="R58" s="30"/>
      <c r="S58" s="30"/>
      <c r="T58" s="30"/>
      <c r="U58" s="30"/>
      <c r="V58" s="30"/>
      <c r="W58" s="30"/>
      <c r="X58" s="30"/>
      <c r="Y58" s="30"/>
      <c r="Z58" s="30"/>
      <c r="AA58" s="30"/>
      <c r="AB58" s="30"/>
      <c r="AC58" s="30"/>
      <c r="AD58" s="30"/>
      <c r="AE58" s="30"/>
    </row>
    <row r="59" spans="1:31" s="104" customFormat="1" ht="15" customHeight="1" x14ac:dyDescent="0.25">
      <c r="A59" s="115" t="s">
        <v>349</v>
      </c>
      <c r="B59" s="30" t="s">
        <v>295</v>
      </c>
      <c r="C59" s="30" t="s">
        <v>168</v>
      </c>
      <c r="D59" s="30" t="s">
        <v>168</v>
      </c>
      <c r="E59" s="30" t="s">
        <v>168</v>
      </c>
      <c r="F59" s="30" t="s">
        <v>168</v>
      </c>
      <c r="G59" s="30" t="s">
        <v>168</v>
      </c>
      <c r="H59" s="30" t="s">
        <v>168</v>
      </c>
      <c r="I59" s="30" t="s">
        <v>168</v>
      </c>
      <c r="J59" s="30" t="s">
        <v>168</v>
      </c>
      <c r="K59" s="30" t="s">
        <v>168</v>
      </c>
      <c r="L59" s="30" t="s">
        <v>168</v>
      </c>
      <c r="M59" s="30"/>
      <c r="N59" s="30"/>
      <c r="O59" s="30"/>
      <c r="P59" s="30"/>
      <c r="Q59" s="30"/>
      <c r="R59" s="30"/>
      <c r="S59" s="30"/>
      <c r="T59" s="30"/>
      <c r="U59" s="30"/>
      <c r="V59" s="30"/>
      <c r="W59" s="30"/>
      <c r="X59" s="30"/>
      <c r="Y59" s="30"/>
      <c r="Z59" s="30"/>
      <c r="AA59" s="30"/>
      <c r="AB59" s="30"/>
      <c r="AC59" s="30"/>
      <c r="AD59" s="30"/>
      <c r="AE59" s="30"/>
    </row>
    <row r="60" spans="1:31" s="104" customFormat="1" ht="15" customHeight="1" x14ac:dyDescent="0.25">
      <c r="A60" s="115" t="s">
        <v>350</v>
      </c>
      <c r="B60" s="30" t="s">
        <v>297</v>
      </c>
      <c r="C60" s="30" t="s">
        <v>173</v>
      </c>
      <c r="D60" s="30" t="s">
        <v>173</v>
      </c>
      <c r="E60" s="30" t="s">
        <v>173</v>
      </c>
      <c r="F60" s="30" t="s">
        <v>168</v>
      </c>
      <c r="G60" s="30" t="s">
        <v>297</v>
      </c>
      <c r="H60" s="30" t="s">
        <v>168</v>
      </c>
      <c r="I60" s="30" t="s">
        <v>173</v>
      </c>
      <c r="J60" s="30" t="s">
        <v>168</v>
      </c>
      <c r="K60" s="30" t="s">
        <v>168</v>
      </c>
      <c r="L60" s="30" t="s">
        <v>168</v>
      </c>
      <c r="M60" s="30"/>
      <c r="N60" s="30"/>
      <c r="O60" s="30"/>
      <c r="P60" s="30"/>
      <c r="Q60" s="30"/>
      <c r="R60" s="30"/>
      <c r="S60" s="30"/>
      <c r="T60" s="30"/>
      <c r="U60" s="30"/>
      <c r="V60" s="30"/>
      <c r="W60" s="30"/>
      <c r="X60" s="30"/>
      <c r="Y60" s="30"/>
      <c r="Z60" s="30"/>
      <c r="AA60" s="30"/>
      <c r="AB60" s="30"/>
      <c r="AC60" s="30"/>
      <c r="AD60" s="30"/>
      <c r="AE60" s="30"/>
    </row>
    <row r="61" spans="1:31" s="104" customFormat="1" ht="15" customHeight="1" x14ac:dyDescent="0.25">
      <c r="A61" s="115" t="s">
        <v>351</v>
      </c>
      <c r="B61" s="30" t="s">
        <v>173</v>
      </c>
      <c r="C61" s="30" t="s">
        <v>173</v>
      </c>
      <c r="D61" s="30" t="s">
        <v>173</v>
      </c>
      <c r="E61" s="30" t="s">
        <v>173</v>
      </c>
      <c r="F61" s="30" t="s">
        <v>173</v>
      </c>
      <c r="G61" s="30" t="s">
        <v>173</v>
      </c>
      <c r="H61" s="30" t="s">
        <v>168</v>
      </c>
      <c r="I61" s="30" t="s">
        <v>173</v>
      </c>
      <c r="J61" s="30" t="s">
        <v>173</v>
      </c>
      <c r="K61" s="30" t="s">
        <v>168</v>
      </c>
      <c r="L61" s="30" t="s">
        <v>168</v>
      </c>
      <c r="M61" s="30"/>
      <c r="N61" s="30"/>
      <c r="O61" s="30"/>
      <c r="P61" s="30"/>
      <c r="Q61" s="30"/>
      <c r="R61" s="30"/>
      <c r="S61" s="30"/>
      <c r="T61" s="30"/>
      <c r="U61" s="30"/>
      <c r="V61" s="30"/>
      <c r="W61" s="30"/>
      <c r="X61" s="30"/>
      <c r="Y61" s="30"/>
      <c r="Z61" s="30"/>
      <c r="AA61" s="30"/>
      <c r="AB61" s="30"/>
      <c r="AC61" s="30"/>
      <c r="AD61" s="30"/>
      <c r="AE61" s="30"/>
    </row>
    <row r="62" spans="1:31" s="104" customFormat="1" ht="30" customHeight="1" x14ac:dyDescent="0.25">
      <c r="A62" s="116" t="s">
        <v>352</v>
      </c>
      <c r="B62" s="28" t="s">
        <v>168</v>
      </c>
      <c r="C62" s="28" t="s">
        <v>297</v>
      </c>
      <c r="D62" s="28" t="s">
        <v>297</v>
      </c>
      <c r="E62" s="28" t="s">
        <v>168</v>
      </c>
      <c r="F62" s="28" t="s">
        <v>168</v>
      </c>
      <c r="G62" s="28" t="s">
        <v>168</v>
      </c>
      <c r="H62" s="28" t="s">
        <v>168</v>
      </c>
      <c r="I62" s="28" t="s">
        <v>297</v>
      </c>
      <c r="J62" s="28" t="s">
        <v>168</v>
      </c>
      <c r="K62" s="28" t="s">
        <v>168</v>
      </c>
      <c r="L62" s="28" t="s">
        <v>168</v>
      </c>
      <c r="M62" s="28"/>
      <c r="N62" s="28"/>
      <c r="O62" s="28"/>
      <c r="P62" s="28"/>
      <c r="Q62" s="28"/>
      <c r="R62" s="28"/>
      <c r="S62" s="28"/>
      <c r="T62" s="28"/>
      <c r="U62" s="28"/>
      <c r="V62" s="28"/>
      <c r="W62" s="28"/>
      <c r="X62" s="28"/>
      <c r="Y62" s="28"/>
      <c r="Z62" s="28"/>
      <c r="AA62" s="28"/>
      <c r="AB62" s="28"/>
      <c r="AC62" s="28"/>
      <c r="AD62" s="28"/>
      <c r="AE62" s="28"/>
    </row>
    <row r="63" spans="1:31" s="83" customFormat="1" ht="18.75" customHeight="1" x14ac:dyDescent="0.25">
      <c r="A63" s="117" t="s">
        <v>353</v>
      </c>
      <c r="B63" s="32" t="s">
        <v>300</v>
      </c>
      <c r="C63" s="32" t="s">
        <v>300</v>
      </c>
      <c r="D63" s="32" t="s">
        <v>300</v>
      </c>
      <c r="E63" s="32" t="s">
        <v>300</v>
      </c>
      <c r="F63" s="32" t="s">
        <v>300</v>
      </c>
      <c r="G63" s="32" t="s">
        <v>300</v>
      </c>
      <c r="H63" s="32" t="s">
        <v>106</v>
      </c>
      <c r="I63" s="32" t="s">
        <v>300</v>
      </c>
      <c r="J63" s="32" t="s">
        <v>300</v>
      </c>
      <c r="K63" s="32" t="s">
        <v>301</v>
      </c>
      <c r="L63" s="32" t="s">
        <v>301</v>
      </c>
      <c r="M63" s="32"/>
      <c r="N63" s="32"/>
      <c r="O63" s="32"/>
      <c r="P63" s="32"/>
      <c r="Q63" s="32"/>
      <c r="R63" s="32"/>
      <c r="S63" s="32"/>
      <c r="T63" s="32"/>
      <c r="U63" s="32"/>
      <c r="V63" s="32"/>
      <c r="W63" s="32"/>
      <c r="X63" s="32"/>
      <c r="Y63" s="32"/>
      <c r="Z63" s="32"/>
      <c r="AA63" s="32"/>
      <c r="AB63" s="32"/>
      <c r="AC63" s="32"/>
      <c r="AD63" s="32"/>
      <c r="AE63" s="32"/>
    </row>
    <row r="64" spans="1:31" s="83" customFormat="1" ht="15" customHeight="1" x14ac:dyDescent="0.25">
      <c r="A64" s="118" t="s">
        <v>305</v>
      </c>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row>
    <row r="65" spans="1:31" s="83" customFormat="1" ht="15" customHeight="1" x14ac:dyDescent="0.25">
      <c r="A65" s="110" t="s">
        <v>354</v>
      </c>
      <c r="B65" s="111" t="str">
        <f>IF(HLOOKUP(B$6,CHARMS!$A$6:$CQ$89,41,)&lt;&gt;0,CONCATENATE(HLOOKUP(B$6,CHARMS!$A$6:$CQ$89,41,)," from ",HLOOKUP(B$6,CHARMS!$A$6:$CQ$89,40,)," (",FIXED((HLOOKUP(B$6,CHARMS!$A$6:$CQ$89,41,)/HLOOKUP(B$6,CHARMS!$A$6:$CQ$89,40,))*100,1),"%)"),"")</f>
        <v>1117 from 13617 (8.2%)</v>
      </c>
      <c r="C65" s="111" t="str">
        <f>IF(HLOOKUP(C$6,CHARMS!$A$6:$CQ$89,41,)&lt;&gt;0,CONCATENATE(HLOOKUP(C$6,CHARMS!$A$6:$CQ$89,41,)," from ",HLOOKUP(C$6,CHARMS!$A$6:$CQ$89,40,)," (",FIXED((HLOOKUP(C$6,CHARMS!$A$6:$CQ$89,41,)/HLOOKUP(C$6,CHARMS!$A$6:$CQ$89,40,))*100,1),"%)"),"")</f>
        <v>40 from 440 (9.1%)</v>
      </c>
      <c r="D65" s="111" t="str">
        <f>IF(HLOOKUP(D$6,CHARMS!$A$6:$CQ$89,41,)&lt;&gt;0,CONCATENATE(HLOOKUP(D$6,CHARMS!$A$6:$CQ$89,41,)," from ",HLOOKUP(D$6,CHARMS!$A$6:$CQ$89,40,)," (",FIXED((HLOOKUP(D$6,CHARMS!$A$6:$CQ$89,41,)/HLOOKUP(D$6,CHARMS!$A$6:$CQ$89,40,))*100,1),"%)"),"")</f>
        <v>106 from 437 (24.3%)</v>
      </c>
      <c r="E65" s="111" t="str">
        <f>IF(HLOOKUP(E$6,CHARMS!$A$6:$CQ$89,41,)&lt;&gt;0,CONCATENATE(HLOOKUP(E$6,CHARMS!$A$6:$CQ$89,41,)," from ",HLOOKUP(E$6,CHARMS!$A$6:$CQ$89,40,)," (",FIXED((HLOOKUP(E$6,CHARMS!$A$6:$CQ$89,41,)/HLOOKUP(E$6,CHARMS!$A$6:$CQ$89,40,))*100,1),"%)"),"")</f>
        <v>21 from 128 (16.4%)</v>
      </c>
      <c r="F65" s="111" t="str">
        <f>IF(HLOOKUP(F$6,CHARMS!$A$6:$CQ$89,41,)&lt;&gt;0,CONCATENATE(HLOOKUP(F$6,CHARMS!$A$6:$CQ$89,41,)," from ",HLOOKUP(F$6,CHARMS!$A$6:$CQ$89,40,)," (",FIXED((HLOOKUP(F$6,CHARMS!$A$6:$CQ$89,41,)/HLOOKUP(F$6,CHARMS!$A$6:$CQ$89,40,))*100,1),"%)"),"")</f>
        <v>56 from 361 (15.5%)</v>
      </c>
      <c r="G65" s="111" t="str">
        <f>IF(HLOOKUP(G$6,CHARMS!$A$6:$CQ$89,41,)&lt;&gt;0,CONCATENATE(HLOOKUP(G$6,CHARMS!$A$6:$CQ$89,41,)," from ",HLOOKUP(G$6,CHARMS!$A$6:$CQ$89,40,)," (",FIXED((HLOOKUP(G$6,CHARMS!$A$6:$CQ$89,41,)/HLOOKUP(G$6,CHARMS!$A$6:$CQ$89,40,))*100,1),"%)"),"")</f>
        <v>56 from 361 (15.5%)</v>
      </c>
      <c r="H65" s="111" t="str">
        <f>IF(HLOOKUP(H$6,CHARMS!$A$6:$CQ$89,41,)&lt;&gt;0,CONCATENATE(HLOOKUP(H$6,CHARMS!$A$6:$CQ$89,41,)," from ",HLOOKUP(H$6,CHARMS!$A$6:$CQ$89,40,)," (",FIXED((HLOOKUP(H$6,CHARMS!$A$6:$CQ$89,41,)/HLOOKUP(H$6,CHARMS!$A$6:$CQ$89,40,))*100,1),"%)"),"")</f>
        <v>298 from 2715 (11.0%)</v>
      </c>
      <c r="I65" s="111" t="str">
        <f>IF(HLOOKUP(I$6,CHARMS!$A$6:$CQ$89,41,)&lt;&gt;0,CONCATENATE(HLOOKUP(I$6,CHARMS!$A$6:$CQ$89,41,)," from ",HLOOKUP(I$6,CHARMS!$A$6:$CQ$89,40,)," (",FIXED((HLOOKUP(I$6,CHARMS!$A$6:$CQ$89,41,)/HLOOKUP(I$6,CHARMS!$A$6:$CQ$89,40,))*100,1),"%)"),"")</f>
        <v>28 from 138 (20.3%)</v>
      </c>
      <c r="J65" s="111" t="str">
        <f>IF(HLOOKUP(J$6,CHARMS!$A$6:$CQ$89,41,)&lt;&gt;0,CONCATENATE(HLOOKUP(J$6,CHARMS!$A$6:$CQ$89,41,)," from ",HLOOKUP(J$6,CHARMS!$A$6:$CQ$89,40,)," (",FIXED((HLOOKUP(J$6,CHARMS!$A$6:$CQ$89,41,)/HLOOKUP(J$6,CHARMS!$A$6:$CQ$89,40,))*100,1),"%)"),"")</f>
        <v>124 from 424 (29.2%)</v>
      </c>
      <c r="K65" s="111" t="str">
        <f>IF(HLOOKUP(K$6,CHARMS!$A$6:$CQ$89,41,)&lt;&gt;0,CONCATENATE(HLOOKUP(K$6,CHARMS!$A$6:$CQ$89,41,)," from ",HLOOKUP(K$6,CHARMS!$A$6:$CQ$89,40,)," (",FIXED((HLOOKUP(K$6,CHARMS!$A$6:$CQ$89,41,)/HLOOKUP(K$6,CHARMS!$A$6:$CQ$89,40,))*100,1),"%)"),"")</f>
        <v>208 from 779 (26.7%)</v>
      </c>
      <c r="L65" s="111" t="str">
        <f>IF(HLOOKUP(L$6,CHARMS!$A$6:$CQ$89,41,)&lt;&gt;0,CONCATENATE(HLOOKUP(L$6,CHARMS!$A$6:$CQ$89,41,)," from ",HLOOKUP(L$6,CHARMS!$A$6:$CQ$89,40,)," (",FIXED((HLOOKUP(L$6,CHARMS!$A$6:$CQ$89,41,)/HLOOKUP(L$6,CHARMS!$A$6:$CQ$89,40,))*100,1),"%)"),"")</f>
        <v>208 from 779 (26.7%)</v>
      </c>
      <c r="M65" s="111" t="str">
        <f>IF(HLOOKUP(M$6,CHARMS!$A$6:$CQ$89,41,)&lt;&gt;0,CONCATENATE(HLOOKUP(M$6,CHARMS!$A$6:$CQ$89,41,)," from ",HLOOKUP(M$6,CHARMS!$A$6:$CQ$89,40,)," (",FIXED((HLOOKUP(M$6,CHARMS!$A$6:$CQ$89,41,)/HLOOKUP(M$6,CHARMS!$A$6:$CQ$89,40,))*100,1),"%)"),"")</f>
        <v/>
      </c>
      <c r="N65" s="111" t="str">
        <f>IF(HLOOKUP(N$6,CHARMS!$A$6:$CQ$89,41,)&lt;&gt;0,CONCATENATE(HLOOKUP(N$6,CHARMS!$A$6:$CQ$89,41,)," from ",HLOOKUP(N$6,CHARMS!$A$6:$CQ$89,40,)," (",FIXED((HLOOKUP(N$6,CHARMS!$A$6:$CQ$89,41,)/HLOOKUP(N$6,CHARMS!$A$6:$CQ$89,40,))*100,1),"%)"),"")</f>
        <v/>
      </c>
      <c r="O65" s="111" t="str">
        <f>IF(HLOOKUP(O$6,CHARMS!$A$6:$CQ$89,41,)&lt;&gt;0,CONCATENATE(HLOOKUP(O$6,CHARMS!$A$6:$CQ$89,41,)," from ",HLOOKUP(O$6,CHARMS!$A$6:$CQ$89,40,)," (",FIXED((HLOOKUP(O$6,CHARMS!$A$6:$CQ$89,41,)/HLOOKUP(O$6,CHARMS!$A$6:$CQ$89,40,))*100,1),"%)"),"")</f>
        <v/>
      </c>
      <c r="P65" s="111" t="str">
        <f>IF(HLOOKUP(P$6,CHARMS!$A$6:$CQ$89,41,)&lt;&gt;0,CONCATENATE(HLOOKUP(P$6,CHARMS!$A$6:$CQ$89,41,)," from ",HLOOKUP(P$6,CHARMS!$A$6:$CQ$89,40,)," (",FIXED((HLOOKUP(P$6,CHARMS!$A$6:$CQ$89,41,)/HLOOKUP(P$6,CHARMS!$A$6:$CQ$89,40,))*100,1),"%)"),"")</f>
        <v/>
      </c>
      <c r="Q65" s="111" t="str">
        <f>IF(HLOOKUP(Q$6,CHARMS!$A$6:$CQ$89,41,)&lt;&gt;0,CONCATENATE(HLOOKUP(Q$6,CHARMS!$A$6:$CQ$89,41,)," from ",HLOOKUP(Q$6,CHARMS!$A$6:$CQ$89,40,)," (",FIXED((HLOOKUP(Q$6,CHARMS!$A$6:$CQ$89,41,)/HLOOKUP(Q$6,CHARMS!$A$6:$CQ$89,40,))*100,1),"%)"),"")</f>
        <v/>
      </c>
      <c r="R65" s="111" t="str">
        <f>IF(HLOOKUP(R$6,CHARMS!$A$6:$CQ$89,41,)&lt;&gt;0,CONCATENATE(HLOOKUP(R$6,CHARMS!$A$6:$CQ$89,41,)," from ",HLOOKUP(R$6,CHARMS!$A$6:$CQ$89,40,)," (",FIXED((HLOOKUP(R$6,CHARMS!$A$6:$CQ$89,41,)/HLOOKUP(R$6,CHARMS!$A$6:$CQ$89,40,))*100,1),"%)"),"")</f>
        <v/>
      </c>
      <c r="S65" s="111" t="str">
        <f>IF(HLOOKUP(S$6,CHARMS!$A$6:$CQ$89,41,)&lt;&gt;0,CONCATENATE(HLOOKUP(S$6,CHARMS!$A$6:$CQ$89,41,)," from ",HLOOKUP(S$6,CHARMS!$A$6:$CQ$89,40,)," (",FIXED((HLOOKUP(S$6,CHARMS!$A$6:$CQ$89,41,)/HLOOKUP(S$6,CHARMS!$A$6:$CQ$89,40,))*100,1),"%)"),"")</f>
        <v/>
      </c>
      <c r="T65" s="111" t="str">
        <f>IF(HLOOKUP(T$6,CHARMS!$A$6:$CQ$89,41,)&lt;&gt;0,CONCATENATE(HLOOKUP(T$6,CHARMS!$A$6:$CQ$89,41,)," from ",HLOOKUP(T$6,CHARMS!$A$6:$CQ$89,40,)," (",FIXED((HLOOKUP(T$6,CHARMS!$A$6:$CQ$89,41,)/HLOOKUP(T$6,CHARMS!$A$6:$CQ$89,40,))*100,1),"%)"),"")</f>
        <v/>
      </c>
      <c r="U65" s="111" t="str">
        <f>IF(HLOOKUP(U$6,CHARMS!$A$6:$CQ$89,41,)&lt;&gt;0,CONCATENATE(HLOOKUP(U$6,CHARMS!$A$6:$CQ$89,41,)," from ",HLOOKUP(U$6,CHARMS!$A$6:$CQ$89,40,)," (",FIXED((HLOOKUP(U$6,CHARMS!$A$6:$CQ$89,41,)/HLOOKUP(U$6,CHARMS!$A$6:$CQ$89,40,))*100,1),"%)"),"")</f>
        <v/>
      </c>
      <c r="V65" s="111" t="str">
        <f>IF(HLOOKUP(V$6,CHARMS!$A$6:$CQ$89,41,)&lt;&gt;0,CONCATENATE(HLOOKUP(V$6,CHARMS!$A$6:$CQ$89,41,)," from ",HLOOKUP(V$6,CHARMS!$A$6:$CQ$89,40,)," (",FIXED((HLOOKUP(V$6,CHARMS!$A$6:$CQ$89,41,)/HLOOKUP(V$6,CHARMS!$A$6:$CQ$89,40,))*100,1),"%)"),"")</f>
        <v/>
      </c>
      <c r="W65" s="111" t="str">
        <f>IF(HLOOKUP(W$6,CHARMS!$A$6:$CQ$89,41,)&lt;&gt;0,CONCATENATE(HLOOKUP(W$6,CHARMS!$A$6:$CQ$89,41,)," from ",HLOOKUP(W$6,CHARMS!$A$6:$CQ$89,40,)," (",FIXED((HLOOKUP(W$6,CHARMS!$A$6:$CQ$89,41,)/HLOOKUP(W$6,CHARMS!$A$6:$CQ$89,40,))*100,1),"%)"),"")</f>
        <v/>
      </c>
      <c r="X65" s="111" t="str">
        <f>IF(HLOOKUP(X$6,CHARMS!$A$6:$CQ$89,41,)&lt;&gt;0,CONCATENATE(HLOOKUP(X$6,CHARMS!$A$6:$CQ$89,41,)," from ",HLOOKUP(X$6,CHARMS!$A$6:$CQ$89,40,)," (",FIXED((HLOOKUP(X$6,CHARMS!$A$6:$CQ$89,41,)/HLOOKUP(X$6,CHARMS!$A$6:$CQ$89,40,))*100,1),"%)"),"")</f>
        <v/>
      </c>
      <c r="Y65" s="111" t="str">
        <f>IF(HLOOKUP(Y$6,CHARMS!$A$6:$CQ$89,41,)&lt;&gt;0,CONCATENATE(HLOOKUP(Y$6,CHARMS!$A$6:$CQ$89,41,)," from ",HLOOKUP(Y$6,CHARMS!$A$6:$CQ$89,40,)," (",FIXED((HLOOKUP(Y$6,CHARMS!$A$6:$CQ$89,41,)/HLOOKUP(Y$6,CHARMS!$A$6:$CQ$89,40,))*100,1),"%)"),"")</f>
        <v/>
      </c>
      <c r="Z65" s="111" t="str">
        <f>IF(HLOOKUP(Z$6,CHARMS!$A$6:$CQ$89,41,)&lt;&gt;0,CONCATENATE(HLOOKUP(Z$6,CHARMS!$A$6:$CQ$89,41,)," from ",HLOOKUP(Z$6,CHARMS!$A$6:$CQ$89,40,)," (",FIXED((HLOOKUP(Z$6,CHARMS!$A$6:$CQ$89,41,)/HLOOKUP(Z$6,CHARMS!$A$6:$CQ$89,40,))*100,1),"%)"),"")</f>
        <v/>
      </c>
      <c r="AA65" s="111" t="str">
        <f>IF(HLOOKUP(AA$6,CHARMS!$A$6:$CQ$89,41,)&lt;&gt;0,CONCATENATE(HLOOKUP(AA$6,CHARMS!$A$6:$CQ$89,41,)," from ",HLOOKUP(AA$6,CHARMS!$A$6:$CQ$89,40,)," (",FIXED((HLOOKUP(AA$6,CHARMS!$A$6:$CQ$89,41,)/HLOOKUP(AA$6,CHARMS!$A$6:$CQ$89,40,))*100,1),"%)"),"")</f>
        <v/>
      </c>
      <c r="AB65" s="111" t="str">
        <f>IF(HLOOKUP(AB$6,CHARMS!$A$6:$CQ$89,41,)&lt;&gt;0,CONCATENATE(HLOOKUP(AB$6,CHARMS!$A$6:$CQ$89,41,)," from ",HLOOKUP(AB$6,CHARMS!$A$6:$CQ$89,40,)," (",FIXED((HLOOKUP(AB$6,CHARMS!$A$6:$CQ$89,41,)/HLOOKUP(AB$6,CHARMS!$A$6:$CQ$89,40,))*100,1),"%)"),"")</f>
        <v/>
      </c>
      <c r="AC65" s="111" t="str">
        <f>IF(HLOOKUP(AC$6,CHARMS!$A$6:$CQ$89,41,)&lt;&gt;0,CONCATENATE(HLOOKUP(AC$6,CHARMS!$A$6:$CQ$89,41,)," from ",HLOOKUP(AC$6,CHARMS!$A$6:$CQ$89,40,)," (",FIXED((HLOOKUP(AC$6,CHARMS!$A$6:$CQ$89,41,)/HLOOKUP(AC$6,CHARMS!$A$6:$CQ$89,40,))*100,1),"%)"),"")</f>
        <v/>
      </c>
      <c r="AD65" s="111" t="str">
        <f>IF(HLOOKUP(AD$6,CHARMS!$A$6:$CQ$89,41,)&lt;&gt;0,CONCATENATE(HLOOKUP(AD$6,CHARMS!$A$6:$CQ$89,41,)," from ",HLOOKUP(AD$6,CHARMS!$A$6:$CQ$89,40,)," (",FIXED((HLOOKUP(AD$6,CHARMS!$A$6:$CQ$89,41,)/HLOOKUP(AD$6,CHARMS!$A$6:$CQ$89,40,))*100,1),"%)"),"")</f>
        <v/>
      </c>
      <c r="AE65" s="111" t="str">
        <f>IF(HLOOKUP(AE$6,CHARMS!$A$6:$CQ$89,41,)&lt;&gt;0,CONCATENATE(HLOOKUP(AE$6,CHARMS!$A$6:$CQ$89,41,)," from ",HLOOKUP(AE$6,CHARMS!$A$6:$CQ$89,40,)," (",FIXED((HLOOKUP(AE$6,CHARMS!$A$6:$CQ$89,41,)/HLOOKUP(AE$6,CHARMS!$A$6:$CQ$89,40,))*100,1),"%)"),"")</f>
        <v/>
      </c>
    </row>
    <row r="66" spans="1:31" s="83" customFormat="1" ht="15" customHeight="1" x14ac:dyDescent="0.25">
      <c r="A66" s="110" t="s">
        <v>355</v>
      </c>
      <c r="B66" s="120">
        <f>IF(HLOOKUP(B$6,CHARMS!$A$6:$CQ$89,43,)&lt;&gt;0,HLOOKUP(B$6,CHARMS!$A$6:$CQ$89,43,),"")</f>
        <v>29.394736842105264</v>
      </c>
      <c r="C66" s="111">
        <f>IF(HLOOKUP(C$6,CHARMS!$A$6:$CQ$89,43,)&lt;&gt;0,HLOOKUP(C$6,CHARMS!$A$6:$CQ$89,43,),"")</f>
        <v>2.1052631578947367</v>
      </c>
      <c r="D66" s="111" t="str">
        <f>IF(HLOOKUP(D$6,CHARMS!$A$6:$CQ$89,43,)&lt;&gt;0,HLOOKUP(D$6,CHARMS!$A$6:$CQ$89,43,),"")</f>
        <v>Unknown</v>
      </c>
      <c r="E66" s="111">
        <f>IF(HLOOKUP(E$6,CHARMS!$A$6:$CQ$89,43,)&lt;&gt;0,HLOOKUP(E$6,CHARMS!$A$6:$CQ$89,43,),"")</f>
        <v>1.4</v>
      </c>
      <c r="F66" s="111">
        <f>IF(HLOOKUP(F$6,CHARMS!$A$6:$CQ$89,43,)&lt;&gt;0,HLOOKUP(F$6,CHARMS!$A$6:$CQ$89,43,),"")</f>
        <v>0.98245614035087714</v>
      </c>
      <c r="G66" s="111">
        <f>IF(HLOOKUP(G$6,CHARMS!$A$6:$CQ$89,43,)&lt;&gt;0,HLOOKUP(G$6,CHARMS!$A$6:$CQ$89,43,),"")</f>
        <v>0.98245614035087714</v>
      </c>
      <c r="H66" s="111">
        <f>IF(HLOOKUP(H$6,CHARMS!$A$6:$CQ$89,43,)&lt;&gt;0,HLOOKUP(H$6,CHARMS!$A$6:$CQ$89,43,),"")</f>
        <v>9.3125</v>
      </c>
      <c r="I66" s="111">
        <f>IF(HLOOKUP(I$6,CHARMS!$A$6:$CQ$89,43,)&lt;&gt;0,HLOOKUP(I$6,CHARMS!$A$6:$CQ$89,43,),"")</f>
        <v>0.5</v>
      </c>
      <c r="J66" s="111">
        <f>IF(HLOOKUP(J$6,CHARMS!$A$6:$CQ$89,43,)&lt;&gt;0,HLOOKUP(J$6,CHARMS!$A$6:$CQ$89,43,),"")</f>
        <v>3.3513513513513513</v>
      </c>
      <c r="K66" s="111">
        <f>IF(HLOOKUP(K$6,CHARMS!$A$6:$CQ$89,43,)&lt;&gt;0,HLOOKUP(K$6,CHARMS!$A$6:$CQ$89,43,),"")</f>
        <v>8</v>
      </c>
      <c r="L66" s="111">
        <f>IF(HLOOKUP(L$6,CHARMS!$A$6:$CQ$89,43,)&lt;&gt;0,HLOOKUP(L$6,CHARMS!$A$6:$CQ$89,43,),"")</f>
        <v>7.7037037037037033</v>
      </c>
      <c r="M66" s="111" t="str">
        <f>IF(HLOOKUP(M$6,CHARMS!$A$6:$CQ$89,43,)&lt;&gt;0,HLOOKUP(M$6,CHARMS!$A$6:$CQ$89,43,),"")</f>
        <v/>
      </c>
      <c r="N66" s="111" t="str">
        <f>IF(HLOOKUP(N$6,CHARMS!$A$6:$CQ$89,43,)&lt;&gt;0,HLOOKUP(N$6,CHARMS!$A$6:$CQ$89,43,),"")</f>
        <v/>
      </c>
      <c r="O66" s="111" t="str">
        <f>IF(HLOOKUP(O$6,CHARMS!$A$6:$CQ$89,43,)&lt;&gt;0,HLOOKUP(O$6,CHARMS!$A$6:$CQ$89,43,),"")</f>
        <v/>
      </c>
      <c r="P66" s="111" t="str">
        <f>IF(HLOOKUP(P$6,CHARMS!$A$6:$CQ$89,43,)&lt;&gt;0,HLOOKUP(P$6,CHARMS!$A$6:$CQ$89,43,),"")</f>
        <v/>
      </c>
      <c r="Q66" s="111" t="str">
        <f>IF(HLOOKUP(Q$6,CHARMS!$A$6:$CQ$89,43,)&lt;&gt;0,HLOOKUP(Q$6,CHARMS!$A$6:$CQ$89,43,),"")</f>
        <v/>
      </c>
      <c r="R66" s="111" t="str">
        <f>IF(HLOOKUP(R$6,CHARMS!$A$6:$CQ$89,43,)&lt;&gt;0,HLOOKUP(R$6,CHARMS!$A$6:$CQ$89,43,),"")</f>
        <v/>
      </c>
      <c r="S66" s="111" t="str">
        <f>IF(HLOOKUP(S$6,CHARMS!$A$6:$CQ$89,43,)&lt;&gt;0,HLOOKUP(S$6,CHARMS!$A$6:$CQ$89,43,),"")</f>
        <v/>
      </c>
      <c r="T66" s="111" t="str">
        <f>IF(HLOOKUP(T$6,CHARMS!$A$6:$CQ$89,43,)&lt;&gt;0,HLOOKUP(T$6,CHARMS!$A$6:$CQ$89,43,),"")</f>
        <v/>
      </c>
      <c r="U66" s="111" t="str">
        <f>IF(HLOOKUP(U$6,CHARMS!$A$6:$CQ$89,43,)&lt;&gt;0,HLOOKUP(U$6,CHARMS!$A$6:$CQ$89,43,),"")</f>
        <v/>
      </c>
      <c r="V66" s="111" t="str">
        <f>IF(HLOOKUP(V$6,CHARMS!$A$6:$CQ$89,43,)&lt;&gt;0,HLOOKUP(V$6,CHARMS!$A$6:$CQ$89,43,),"")</f>
        <v/>
      </c>
      <c r="W66" s="111" t="str">
        <f>IF(HLOOKUP(W$6,CHARMS!$A$6:$CQ$89,43,)&lt;&gt;0,HLOOKUP(W$6,CHARMS!$A$6:$CQ$89,43,),"")</f>
        <v/>
      </c>
      <c r="X66" s="111" t="str">
        <f>IF(HLOOKUP(X$6,CHARMS!$A$6:$CQ$89,43,)&lt;&gt;0,HLOOKUP(X$6,CHARMS!$A$6:$CQ$89,43,),"")</f>
        <v/>
      </c>
      <c r="Y66" s="111" t="str">
        <f>IF(HLOOKUP(Y$6,CHARMS!$A$6:$CQ$89,43,)&lt;&gt;0,HLOOKUP(Y$6,CHARMS!$A$6:$CQ$89,43,),"")</f>
        <v/>
      </c>
      <c r="Z66" s="111" t="str">
        <f>IF(HLOOKUP(Z$6,CHARMS!$A$6:$CQ$89,43,)&lt;&gt;0,HLOOKUP(Z$6,CHARMS!$A$6:$CQ$89,43,),"")</f>
        <v/>
      </c>
      <c r="AA66" s="111" t="str">
        <f>IF(HLOOKUP(AA$6,CHARMS!$A$6:$CQ$89,43,)&lt;&gt;0,HLOOKUP(AA$6,CHARMS!$A$6:$CQ$89,43,),"")</f>
        <v/>
      </c>
      <c r="AB66" s="111" t="str">
        <f>IF(HLOOKUP(AB$6,CHARMS!$A$6:$CQ$89,43,)&lt;&gt;0,HLOOKUP(AB$6,CHARMS!$A$6:$CQ$89,43,),"")</f>
        <v/>
      </c>
      <c r="AC66" s="111" t="str">
        <f>IF(HLOOKUP(AC$6,CHARMS!$A$6:$CQ$89,43,)&lt;&gt;0,HLOOKUP(AC$6,CHARMS!$A$6:$CQ$89,43,),"")</f>
        <v/>
      </c>
      <c r="AD66" s="111" t="str">
        <f>IF(HLOOKUP(AD$6,CHARMS!$A$6:$CQ$89,43,)&lt;&gt;0,HLOOKUP(AD$6,CHARMS!$A$6:$CQ$89,43,),"")</f>
        <v/>
      </c>
      <c r="AE66" s="111" t="str">
        <f>IF(HLOOKUP(AE$6,CHARMS!$A$6:$CQ$89,43,)&lt;&gt;0,HLOOKUP(AE$6,CHARMS!$A$6:$CQ$89,43,),"")</f>
        <v/>
      </c>
    </row>
    <row r="67" spans="1:31" s="83" customFormat="1" ht="15" customHeight="1" x14ac:dyDescent="0.25">
      <c r="A67" s="110" t="s">
        <v>356</v>
      </c>
      <c r="B67" s="111" t="str">
        <f>IF(HLOOKUP(B$6,CHARMS!$A$6:$CQ$89,38,)&lt;&gt;0,HLOOKUP(B$6,CHARMS!$A$6:$CQ$89,38,),"")</f>
        <v>No information</v>
      </c>
      <c r="C67" s="111" t="str">
        <f>IF(HLOOKUP(C$6,CHARMS!$A$6:$CQ$89,38,)&lt;&gt;0,HLOOKUP(C$6,CHARMS!$A$6:$CQ$89,38,),"")</f>
        <v>No information</v>
      </c>
      <c r="D67" s="111" t="str">
        <f>IF(HLOOKUP(D$6,CHARMS!$A$6:$CQ$89,38,)&lt;&gt;0,HLOOKUP(D$6,CHARMS!$A$6:$CQ$89,38,),"")</f>
        <v>Dichotomization</v>
      </c>
      <c r="E67" s="111" t="str">
        <f>IF(HLOOKUP(E$6,CHARMS!$A$6:$CQ$89,38,)&lt;&gt;0,HLOOKUP(E$6,CHARMS!$A$6:$CQ$89,38,),"")</f>
        <v>No information</v>
      </c>
      <c r="F67" s="111" t="str">
        <f>IF(HLOOKUP(F$6,CHARMS!$A$6:$CQ$89,38,)&lt;&gt;0,HLOOKUP(F$6,CHARMS!$A$6:$CQ$89,38,),"")</f>
        <v>No information</v>
      </c>
      <c r="G67" s="111" t="str">
        <f>IF(HLOOKUP(G$6,CHARMS!$A$6:$CQ$89,38,)&lt;&gt;0,HLOOKUP(G$6,CHARMS!$A$6:$CQ$89,38,),"")</f>
        <v>No information</v>
      </c>
      <c r="H67" s="111" t="str">
        <f>IF(HLOOKUP(H$6,CHARMS!$A$6:$CQ$89,38,)&lt;&gt;0,HLOOKUP(H$6,CHARMS!$A$6:$CQ$89,38,),"")</f>
        <v>Restricted cubic spline function or categorization</v>
      </c>
      <c r="I67" s="111" t="str">
        <f>IF(HLOOKUP(I$6,CHARMS!$A$6:$CQ$89,38,)&lt;&gt;0,HLOOKUP(I$6,CHARMS!$A$6:$CQ$89,38,),"")</f>
        <v>No information</v>
      </c>
      <c r="J67" s="111" t="str">
        <f>IF(HLOOKUP(J$6,CHARMS!$A$6:$CQ$89,38,)&lt;&gt;0,HLOOKUP(J$6,CHARMS!$A$6:$CQ$89,38,),"")</f>
        <v>No information</v>
      </c>
      <c r="K67" s="111" t="str">
        <f>IF(HLOOKUP(K$6,CHARMS!$A$6:$CQ$89,38,)&lt;&gt;0,HLOOKUP(K$6,CHARMS!$A$6:$CQ$89,38,),"")</f>
        <v>No information</v>
      </c>
      <c r="L67" s="111" t="str">
        <f>IF(HLOOKUP(L$6,CHARMS!$A$6:$CQ$89,38,)&lt;&gt;0,HLOOKUP(L$6,CHARMS!$A$6:$CQ$89,38,),"")</f>
        <v>No information</v>
      </c>
      <c r="M67" s="111" t="str">
        <f>IF(HLOOKUP(M$6,CHARMS!$A$6:$CQ$89,38,)&lt;&gt;0,HLOOKUP(M$6,CHARMS!$A$6:$CQ$89,38,),"")</f>
        <v/>
      </c>
      <c r="N67" s="111" t="str">
        <f>IF(HLOOKUP(N$6,CHARMS!$A$6:$CQ$89,38,)&lt;&gt;0,HLOOKUP(N$6,CHARMS!$A$6:$CQ$89,38,),"")</f>
        <v/>
      </c>
      <c r="O67" s="111" t="str">
        <f>IF(HLOOKUP(O$6,CHARMS!$A$6:$CQ$89,38,)&lt;&gt;0,HLOOKUP(O$6,CHARMS!$A$6:$CQ$89,38,),"")</f>
        <v/>
      </c>
      <c r="P67" s="111" t="str">
        <f>IF(HLOOKUP(P$6,CHARMS!$A$6:$CQ$89,38,)&lt;&gt;0,HLOOKUP(P$6,CHARMS!$A$6:$CQ$89,38,),"")</f>
        <v/>
      </c>
      <c r="Q67" s="111" t="str">
        <f>IF(HLOOKUP(Q$6,CHARMS!$A$6:$CQ$89,38,)&lt;&gt;0,HLOOKUP(Q$6,CHARMS!$A$6:$CQ$89,38,),"")</f>
        <v/>
      </c>
      <c r="R67" s="111" t="str">
        <f>IF(HLOOKUP(R$6,CHARMS!$A$6:$CQ$89,38,)&lt;&gt;0,HLOOKUP(R$6,CHARMS!$A$6:$CQ$89,38,),"")</f>
        <v/>
      </c>
      <c r="S67" s="111" t="str">
        <f>IF(HLOOKUP(S$6,CHARMS!$A$6:$CQ$89,38,)&lt;&gt;0,HLOOKUP(S$6,CHARMS!$A$6:$CQ$89,38,),"")</f>
        <v/>
      </c>
      <c r="T67" s="111" t="str">
        <f>IF(HLOOKUP(T$6,CHARMS!$A$6:$CQ$89,38,)&lt;&gt;0,HLOOKUP(T$6,CHARMS!$A$6:$CQ$89,38,),"")</f>
        <v/>
      </c>
      <c r="U67" s="111" t="str">
        <f>IF(HLOOKUP(U$6,CHARMS!$A$6:$CQ$89,38,)&lt;&gt;0,HLOOKUP(U$6,CHARMS!$A$6:$CQ$89,38,),"")</f>
        <v/>
      </c>
      <c r="V67" s="111" t="str">
        <f>IF(HLOOKUP(V$6,CHARMS!$A$6:$CQ$89,38,)&lt;&gt;0,HLOOKUP(V$6,CHARMS!$A$6:$CQ$89,38,),"")</f>
        <v/>
      </c>
      <c r="W67" s="111" t="str">
        <f>IF(HLOOKUP(W$6,CHARMS!$A$6:$CQ$89,38,)&lt;&gt;0,HLOOKUP(W$6,CHARMS!$A$6:$CQ$89,38,),"")</f>
        <v/>
      </c>
      <c r="X67" s="111" t="str">
        <f>IF(HLOOKUP(X$6,CHARMS!$A$6:$CQ$89,38,)&lt;&gt;0,HLOOKUP(X$6,CHARMS!$A$6:$CQ$89,38,),"")</f>
        <v/>
      </c>
      <c r="Y67" s="111" t="str">
        <f>IF(HLOOKUP(Y$6,CHARMS!$A$6:$CQ$89,38,)&lt;&gt;0,HLOOKUP(Y$6,CHARMS!$A$6:$CQ$89,38,),"")</f>
        <v/>
      </c>
      <c r="Z67" s="111" t="str">
        <f>IF(HLOOKUP(Z$6,CHARMS!$A$6:$CQ$89,38,)&lt;&gt;0,HLOOKUP(Z$6,CHARMS!$A$6:$CQ$89,38,),"")</f>
        <v/>
      </c>
      <c r="AA67" s="111" t="str">
        <f>IF(HLOOKUP(AA$6,CHARMS!$A$6:$CQ$89,38,)&lt;&gt;0,HLOOKUP(AA$6,CHARMS!$A$6:$CQ$89,38,),"")</f>
        <v/>
      </c>
      <c r="AB67" s="111" t="str">
        <f>IF(HLOOKUP(AB$6,CHARMS!$A$6:$CQ$89,38,)&lt;&gt;0,HLOOKUP(AB$6,CHARMS!$A$6:$CQ$89,38,),"")</f>
        <v/>
      </c>
      <c r="AC67" s="111" t="str">
        <f>IF(HLOOKUP(AC$6,CHARMS!$A$6:$CQ$89,38,)&lt;&gt;0,HLOOKUP(AC$6,CHARMS!$A$6:$CQ$89,38,),"")</f>
        <v/>
      </c>
      <c r="AD67" s="111" t="str">
        <f>IF(HLOOKUP(AD$6,CHARMS!$A$6:$CQ$89,38,)&lt;&gt;0,HLOOKUP(AD$6,CHARMS!$A$6:$CQ$89,38,),"")</f>
        <v/>
      </c>
      <c r="AE67" s="111" t="str">
        <f>IF(HLOOKUP(AE$6,CHARMS!$A$6:$CQ$89,38,)&lt;&gt;0,HLOOKUP(AE$6,CHARMS!$A$6:$CQ$89,38,),"")</f>
        <v/>
      </c>
    </row>
    <row r="68" spans="1:31" s="83" customFormat="1" ht="15" customHeight="1" x14ac:dyDescent="0.25">
      <c r="A68" s="110" t="s">
        <v>357</v>
      </c>
      <c r="B68" s="111">
        <f>IF(HLOOKUP(B$6,CHARMS!$A$6:$CQ$89,45,)&lt;&gt;0,HLOOKUP(B$6,CHARMS!$A$6:$CQ$89,45,),"")</f>
        <v>98</v>
      </c>
      <c r="C68" s="111">
        <f>IF(HLOOKUP(C$6,CHARMS!$A$6:$CQ$89,45,)&lt;&gt;0,HLOOKUP(C$6,CHARMS!$A$6:$CQ$89,45,),"")</f>
        <v>22</v>
      </c>
      <c r="D68" s="111" t="str">
        <f>IF(HLOOKUP(D$6,CHARMS!$A$6:$CQ$89,45,)&lt;&gt;0,HLOOKUP(D$6,CHARMS!$A$6:$CQ$89,45,),"")</f>
        <v>No information</v>
      </c>
      <c r="E68" s="111" t="str">
        <f>IF(HLOOKUP(E$6,CHARMS!$A$6:$CQ$89,45,)&lt;&gt;0,HLOOKUP(E$6,CHARMS!$A$6:$CQ$89,45,),"")</f>
        <v>No information</v>
      </c>
      <c r="F68" s="111" t="str">
        <f>IF(HLOOKUP(F$6,CHARMS!$A$6:$CQ$89,45,)&lt;&gt;0,HLOOKUP(F$6,CHARMS!$A$6:$CQ$89,45,),"")</f>
        <v>No information</v>
      </c>
      <c r="G68" s="111" t="str">
        <f>IF(HLOOKUP(G$6,CHARMS!$A$6:$CQ$89,45,)&lt;&gt;0,HLOOKUP(G$6,CHARMS!$A$6:$CQ$89,45,),"")</f>
        <v>No information</v>
      </c>
      <c r="H68" s="111" t="str">
        <f>IF(HLOOKUP(H$6,CHARMS!$A$6:$CQ$89,45,)&lt;&gt;0,HLOOKUP(H$6,CHARMS!$A$6:$CQ$89,45,),"")</f>
        <v>No information</v>
      </c>
      <c r="I68" s="111">
        <f>IF(HLOOKUP(I$6,CHARMS!$A$6:$CQ$89,45,)&lt;&gt;0,HLOOKUP(I$6,CHARMS!$A$6:$CQ$89,45,),"")</f>
        <v>45</v>
      </c>
      <c r="J68" s="111" t="str">
        <f>IF(HLOOKUP(J$6,CHARMS!$A$6:$CQ$89,45,)&lt;&gt;0,HLOOKUP(J$6,CHARMS!$A$6:$CQ$89,45,),"")</f>
        <v>No information</v>
      </c>
      <c r="K68" s="111">
        <f>IF(HLOOKUP(K$6,CHARMS!$A$6:$CQ$89,45,)&lt;&gt;0,HLOOKUP(K$6,CHARMS!$A$6:$CQ$89,45,),"")</f>
        <v>4</v>
      </c>
      <c r="L68" s="111">
        <f>IF(HLOOKUP(L$6,CHARMS!$A$6:$CQ$89,45,)&lt;&gt;0,HLOOKUP(L$6,CHARMS!$A$6:$CQ$89,45,),"")</f>
        <v>4</v>
      </c>
      <c r="M68" s="111" t="str">
        <f>IF(HLOOKUP(M$6,CHARMS!$A$6:$CQ$89,45,)&lt;&gt;0,HLOOKUP(M$6,CHARMS!$A$6:$CQ$89,45,),"")</f>
        <v/>
      </c>
      <c r="N68" s="111" t="str">
        <f>IF(HLOOKUP(N$6,CHARMS!$A$6:$CQ$89,45,)&lt;&gt;0,HLOOKUP(N$6,CHARMS!$A$6:$CQ$89,45,),"")</f>
        <v/>
      </c>
      <c r="O68" s="111" t="str">
        <f>IF(HLOOKUP(O$6,CHARMS!$A$6:$CQ$89,45,)&lt;&gt;0,HLOOKUP(O$6,CHARMS!$A$6:$CQ$89,45,),"")</f>
        <v/>
      </c>
      <c r="P68" s="111" t="str">
        <f>IF(HLOOKUP(P$6,CHARMS!$A$6:$CQ$89,45,)&lt;&gt;0,HLOOKUP(P$6,CHARMS!$A$6:$CQ$89,45,),"")</f>
        <v/>
      </c>
      <c r="Q68" s="111" t="str">
        <f>IF(HLOOKUP(Q$6,CHARMS!$A$6:$CQ$89,45,)&lt;&gt;0,HLOOKUP(Q$6,CHARMS!$A$6:$CQ$89,45,),"")</f>
        <v/>
      </c>
      <c r="R68" s="111" t="str">
        <f>IF(HLOOKUP(R$6,CHARMS!$A$6:$CQ$89,45,)&lt;&gt;0,HLOOKUP(R$6,CHARMS!$A$6:$CQ$89,45,),"")</f>
        <v/>
      </c>
      <c r="S68" s="111" t="str">
        <f>IF(HLOOKUP(S$6,CHARMS!$A$6:$CQ$89,45,)&lt;&gt;0,HLOOKUP(S$6,CHARMS!$A$6:$CQ$89,45,),"")</f>
        <v/>
      </c>
      <c r="T68" s="111" t="str">
        <f>IF(HLOOKUP(T$6,CHARMS!$A$6:$CQ$89,45,)&lt;&gt;0,HLOOKUP(T$6,CHARMS!$A$6:$CQ$89,45,),"")</f>
        <v/>
      </c>
      <c r="U68" s="111" t="str">
        <f>IF(HLOOKUP(U$6,CHARMS!$A$6:$CQ$89,45,)&lt;&gt;0,HLOOKUP(U$6,CHARMS!$A$6:$CQ$89,45,),"")</f>
        <v/>
      </c>
      <c r="V68" s="111" t="str">
        <f>IF(HLOOKUP(V$6,CHARMS!$A$6:$CQ$89,45,)&lt;&gt;0,HLOOKUP(V$6,CHARMS!$A$6:$CQ$89,45,),"")</f>
        <v/>
      </c>
      <c r="W68" s="111" t="str">
        <f>IF(HLOOKUP(W$6,CHARMS!$A$6:$CQ$89,45,)&lt;&gt;0,HLOOKUP(W$6,CHARMS!$A$6:$CQ$89,45,),"")</f>
        <v/>
      </c>
      <c r="X68" s="111" t="str">
        <f>IF(HLOOKUP(X$6,CHARMS!$A$6:$CQ$89,45,)&lt;&gt;0,HLOOKUP(X$6,CHARMS!$A$6:$CQ$89,45,),"")</f>
        <v/>
      </c>
      <c r="Y68" s="111" t="str">
        <f>IF(HLOOKUP(Y$6,CHARMS!$A$6:$CQ$89,45,)&lt;&gt;0,HLOOKUP(Y$6,CHARMS!$A$6:$CQ$89,45,),"")</f>
        <v/>
      </c>
      <c r="Z68" s="111" t="str">
        <f>IF(HLOOKUP(Z$6,CHARMS!$A$6:$CQ$89,45,)&lt;&gt;0,HLOOKUP(Z$6,CHARMS!$A$6:$CQ$89,45,),"")</f>
        <v/>
      </c>
      <c r="AA68" s="111" t="str">
        <f>IF(HLOOKUP(AA$6,CHARMS!$A$6:$CQ$89,45,)&lt;&gt;0,HLOOKUP(AA$6,CHARMS!$A$6:$CQ$89,45,),"")</f>
        <v/>
      </c>
      <c r="AB68" s="111" t="str">
        <f>IF(HLOOKUP(AB$6,CHARMS!$A$6:$CQ$89,45,)&lt;&gt;0,HLOOKUP(AB$6,CHARMS!$A$6:$CQ$89,45,),"")</f>
        <v/>
      </c>
      <c r="AC68" s="111" t="str">
        <f>IF(HLOOKUP(AC$6,CHARMS!$A$6:$CQ$89,45,)&lt;&gt;0,HLOOKUP(AC$6,CHARMS!$A$6:$CQ$89,45,),"")</f>
        <v/>
      </c>
      <c r="AD68" s="111" t="str">
        <f>IF(HLOOKUP(AD$6,CHARMS!$A$6:$CQ$89,45,)&lt;&gt;0,HLOOKUP(AD$6,CHARMS!$A$6:$CQ$89,45,),"")</f>
        <v/>
      </c>
      <c r="AE68" s="111" t="str">
        <f>IF(HLOOKUP(AE$6,CHARMS!$A$6:$CQ$89,45,)&lt;&gt;0,HLOOKUP(AE$6,CHARMS!$A$6:$CQ$89,45,),"")</f>
        <v/>
      </c>
    </row>
    <row r="69" spans="1:31" s="83" customFormat="1" ht="15" customHeight="1" x14ac:dyDescent="0.25">
      <c r="A69" s="110" t="s">
        <v>358</v>
      </c>
      <c r="B69" s="111" t="str">
        <f>IF(HLOOKUP(B$6,CHARMS!$A$6:$CQ$89,46,)&lt;&gt;0,HLOOKUP(B$6,CHARMS!$A$6:$CQ$89,46,),"")</f>
        <v>No information</v>
      </c>
      <c r="C69" s="111" t="str">
        <f>IF(HLOOKUP(C$6,CHARMS!$A$6:$CQ$89,46,)&lt;&gt;0,HLOOKUP(C$6,CHARMS!$A$6:$CQ$89,46,),"")</f>
        <v>No information</v>
      </c>
      <c r="D69" s="111" t="str">
        <f>IF(HLOOKUP(D$6,CHARMS!$A$6:$CQ$89,46,)&lt;&gt;0,HLOOKUP(D$6,CHARMS!$A$6:$CQ$89,46,),"")</f>
        <v>No information</v>
      </c>
      <c r="E69" s="111" t="str">
        <f>IF(HLOOKUP(E$6,CHARMS!$A$6:$CQ$89,46,)&lt;&gt;0,HLOOKUP(E$6,CHARMS!$A$6:$CQ$89,46,),"")</f>
        <v>No information</v>
      </c>
      <c r="F69" s="111" t="str">
        <f>IF(HLOOKUP(F$6,CHARMS!$A$6:$CQ$89,46,)&lt;&gt;0,HLOOKUP(F$6,CHARMS!$A$6:$CQ$89,46,),"")</f>
        <v>No information</v>
      </c>
      <c r="G69" s="111" t="str">
        <f>IF(HLOOKUP(G$6,CHARMS!$A$6:$CQ$89,46,)&lt;&gt;0,HLOOKUP(G$6,CHARMS!$A$6:$CQ$89,46,),"")</f>
        <v>No information</v>
      </c>
      <c r="H69" s="111" t="str">
        <f>IF(HLOOKUP(H$6,CHARMS!$A$6:$CQ$89,46,)&lt;&gt;0,HLOOKUP(H$6,CHARMS!$A$6:$CQ$89,46,),"")</f>
        <v>No information</v>
      </c>
      <c r="I69" s="111" t="str">
        <f>IF(HLOOKUP(I$6,CHARMS!$A$6:$CQ$89,46,)&lt;&gt;0,HLOOKUP(I$6,CHARMS!$A$6:$CQ$89,46,),"")</f>
        <v>No information</v>
      </c>
      <c r="J69" s="111" t="str">
        <f>IF(HLOOKUP(J$6,CHARMS!$A$6:$CQ$89,46,)&lt;&gt;0,HLOOKUP(J$6,CHARMS!$A$6:$CQ$89,46,),"")</f>
        <v>No information</v>
      </c>
      <c r="K69" s="111" t="str">
        <f>IF(HLOOKUP(K$6,CHARMS!$A$6:$CQ$89,46,)&lt;&gt;0,HLOOKUP(K$6,CHARMS!$A$6:$CQ$89,46,),"")</f>
        <v>Complete-case analysis</v>
      </c>
      <c r="L69" s="111" t="str">
        <f>IF(HLOOKUP(L$6,CHARMS!$A$6:$CQ$89,46,)&lt;&gt;0,HLOOKUP(L$6,CHARMS!$A$6:$CQ$89,46,),"")</f>
        <v>Complete-case analysis</v>
      </c>
      <c r="M69" s="111" t="str">
        <f>IF(HLOOKUP(M$6,CHARMS!$A$6:$CQ$89,46,)&lt;&gt;0,HLOOKUP(M$6,CHARMS!$A$6:$CQ$89,46,),"")</f>
        <v/>
      </c>
      <c r="N69" s="111" t="str">
        <f>IF(HLOOKUP(N$6,CHARMS!$A$6:$CQ$89,46,)&lt;&gt;0,HLOOKUP(N$6,CHARMS!$A$6:$CQ$89,46,),"")</f>
        <v/>
      </c>
      <c r="O69" s="111" t="str">
        <f>IF(HLOOKUP(O$6,CHARMS!$A$6:$CQ$89,46,)&lt;&gt;0,HLOOKUP(O$6,CHARMS!$A$6:$CQ$89,46,),"")</f>
        <v/>
      </c>
      <c r="P69" s="111" t="str">
        <f>IF(HLOOKUP(P$6,CHARMS!$A$6:$CQ$89,46,)&lt;&gt;0,HLOOKUP(P$6,CHARMS!$A$6:$CQ$89,46,),"")</f>
        <v/>
      </c>
      <c r="Q69" s="111" t="str">
        <f>IF(HLOOKUP(Q$6,CHARMS!$A$6:$CQ$89,46,)&lt;&gt;0,HLOOKUP(Q$6,CHARMS!$A$6:$CQ$89,46,),"")</f>
        <v/>
      </c>
      <c r="R69" s="111" t="str">
        <f>IF(HLOOKUP(R$6,CHARMS!$A$6:$CQ$89,46,)&lt;&gt;0,HLOOKUP(R$6,CHARMS!$A$6:$CQ$89,46,),"")</f>
        <v/>
      </c>
      <c r="S69" s="111" t="str">
        <f>IF(HLOOKUP(S$6,CHARMS!$A$6:$CQ$89,46,)&lt;&gt;0,HLOOKUP(S$6,CHARMS!$A$6:$CQ$89,46,),"")</f>
        <v/>
      </c>
      <c r="T69" s="111" t="str">
        <f>IF(HLOOKUP(T$6,CHARMS!$A$6:$CQ$89,46,)&lt;&gt;0,HLOOKUP(T$6,CHARMS!$A$6:$CQ$89,46,),"")</f>
        <v/>
      </c>
      <c r="U69" s="111" t="str">
        <f>IF(HLOOKUP(U$6,CHARMS!$A$6:$CQ$89,46,)&lt;&gt;0,HLOOKUP(U$6,CHARMS!$A$6:$CQ$89,46,),"")</f>
        <v/>
      </c>
      <c r="V69" s="111" t="str">
        <f>IF(HLOOKUP(V$6,CHARMS!$A$6:$CQ$89,46,)&lt;&gt;0,HLOOKUP(V$6,CHARMS!$A$6:$CQ$89,46,),"")</f>
        <v/>
      </c>
      <c r="W69" s="111" t="str">
        <f>IF(HLOOKUP(W$6,CHARMS!$A$6:$CQ$89,46,)&lt;&gt;0,HLOOKUP(W$6,CHARMS!$A$6:$CQ$89,46,),"")</f>
        <v/>
      </c>
      <c r="X69" s="111" t="str">
        <f>IF(HLOOKUP(X$6,CHARMS!$A$6:$CQ$89,46,)&lt;&gt;0,HLOOKUP(X$6,CHARMS!$A$6:$CQ$89,46,),"")</f>
        <v/>
      </c>
      <c r="Y69" s="111" t="str">
        <f>IF(HLOOKUP(Y$6,CHARMS!$A$6:$CQ$89,46,)&lt;&gt;0,HLOOKUP(Y$6,CHARMS!$A$6:$CQ$89,46,),"")</f>
        <v/>
      </c>
      <c r="Z69" s="111" t="str">
        <f>IF(HLOOKUP(Z$6,CHARMS!$A$6:$CQ$89,46,)&lt;&gt;0,HLOOKUP(Z$6,CHARMS!$A$6:$CQ$89,46,),"")</f>
        <v/>
      </c>
      <c r="AA69" s="111" t="str">
        <f>IF(HLOOKUP(AA$6,CHARMS!$A$6:$CQ$89,46,)&lt;&gt;0,HLOOKUP(AA$6,CHARMS!$A$6:$CQ$89,46,),"")</f>
        <v/>
      </c>
      <c r="AB69" s="111" t="str">
        <f>IF(HLOOKUP(AB$6,CHARMS!$A$6:$CQ$89,46,)&lt;&gt;0,HLOOKUP(AB$6,CHARMS!$A$6:$CQ$89,46,),"")</f>
        <v/>
      </c>
      <c r="AC69" s="111" t="str">
        <f>IF(HLOOKUP(AC$6,CHARMS!$A$6:$CQ$89,46,)&lt;&gt;0,HLOOKUP(AC$6,CHARMS!$A$6:$CQ$89,46,),"")</f>
        <v/>
      </c>
      <c r="AD69" s="111" t="str">
        <f>IF(HLOOKUP(AD$6,CHARMS!$A$6:$CQ$89,46,)&lt;&gt;0,HLOOKUP(AD$6,CHARMS!$A$6:$CQ$89,46,),"")</f>
        <v/>
      </c>
      <c r="AE69" s="111" t="str">
        <f>IF(HLOOKUP(AE$6,CHARMS!$A$6:$CQ$89,46,)&lt;&gt;0,HLOOKUP(AE$6,CHARMS!$A$6:$CQ$89,46,),"")</f>
        <v/>
      </c>
    </row>
    <row r="70" spans="1:31" s="83" customFormat="1" ht="30" customHeight="1" x14ac:dyDescent="0.25">
      <c r="A70" s="110" t="s">
        <v>359</v>
      </c>
      <c r="B70" s="111" t="str">
        <f>IF(HLOOKUP(B$6,CHARMS!$A$6:$CQ$89,49,)&lt;&gt;0,HLOOKUP(B$6,CHARMS!$A$6:$CQ$89,49,),"")</f>
        <v>Based on univariable associations</v>
      </c>
      <c r="C70" s="111" t="str">
        <f>IF(HLOOKUP(C$6,CHARMS!$A$6:$CQ$89,49,)&lt;&gt;0,HLOOKUP(C$6,CHARMS!$A$6:$CQ$89,49,),"")</f>
        <v>Based on univariable associations</v>
      </c>
      <c r="D70" s="111" t="str">
        <f>IF(HLOOKUP(D$6,CHARMS!$A$6:$CQ$89,49,)&lt;&gt;0,HLOOKUP(D$6,CHARMS!$A$6:$CQ$89,49,),"")</f>
        <v>Based on univariable associations</v>
      </c>
      <c r="E70" s="111" t="str">
        <f>IF(HLOOKUP(E$6,CHARMS!$A$6:$CQ$89,49,)&lt;&gt;0,HLOOKUP(E$6,CHARMS!$A$6:$CQ$89,49,),"")</f>
        <v>Based on univariable associations</v>
      </c>
      <c r="F70" s="111" t="str">
        <f>IF(HLOOKUP(F$6,CHARMS!$A$6:$CQ$89,49,)&lt;&gt;0,HLOOKUP(F$6,CHARMS!$A$6:$CQ$89,49,),"")</f>
        <v>Based on univariable associations</v>
      </c>
      <c r="G70" s="111" t="str">
        <f>IF(HLOOKUP(G$6,CHARMS!$A$6:$CQ$89,49,)&lt;&gt;0,HLOOKUP(G$6,CHARMS!$A$6:$CQ$89,49,),"")</f>
        <v>Based on univariable associations</v>
      </c>
      <c r="H70" s="111" t="str">
        <f>IF(HLOOKUP(H$6,CHARMS!$A$6:$CQ$89,49,)&lt;&gt;0,HLOOKUP(H$6,CHARMS!$A$6:$CQ$89,49,),"")</f>
        <v>Based on univariable associations</v>
      </c>
      <c r="I70" s="111" t="str">
        <f>IF(HLOOKUP(I$6,CHARMS!$A$6:$CQ$89,49,)&lt;&gt;0,HLOOKUP(I$6,CHARMS!$A$6:$CQ$89,49,),"")</f>
        <v>Based on univariable associations</v>
      </c>
      <c r="J70" s="111" t="str">
        <f>IF(HLOOKUP(J$6,CHARMS!$A$6:$CQ$89,49,)&lt;&gt;0,HLOOKUP(J$6,CHARMS!$A$6:$CQ$89,49,),"")</f>
        <v>Based on univariable associations and clinical relevance</v>
      </c>
      <c r="K70" s="111" t="str">
        <f>IF(HLOOKUP(K$6,CHARMS!$A$6:$CQ$89,49,)&lt;&gt;0,HLOOKUP(K$6,CHARMS!$A$6:$CQ$89,49,),"")</f>
        <v>Based on prior knowledge</v>
      </c>
      <c r="L70" s="111" t="str">
        <f>IF(HLOOKUP(L$6,CHARMS!$A$6:$CQ$89,49,)&lt;&gt;0,HLOOKUP(L$6,CHARMS!$A$6:$CQ$89,49,),"")</f>
        <v>Based on prior knowledge</v>
      </c>
      <c r="M70" s="111" t="str">
        <f>IF(HLOOKUP(M$6,CHARMS!$A$6:$CQ$89,49,)&lt;&gt;0,HLOOKUP(M$6,CHARMS!$A$6:$CQ$89,49,),"")</f>
        <v/>
      </c>
      <c r="N70" s="111" t="str">
        <f>IF(HLOOKUP(N$6,CHARMS!$A$6:$CQ$89,49,)&lt;&gt;0,HLOOKUP(N$6,CHARMS!$A$6:$CQ$89,49,),"")</f>
        <v/>
      </c>
      <c r="O70" s="111" t="str">
        <f>IF(HLOOKUP(O$6,CHARMS!$A$6:$CQ$89,49,)&lt;&gt;0,HLOOKUP(O$6,CHARMS!$A$6:$CQ$89,49,),"")</f>
        <v/>
      </c>
      <c r="P70" s="111" t="str">
        <f>IF(HLOOKUP(P$6,CHARMS!$A$6:$CQ$89,49,)&lt;&gt;0,HLOOKUP(P$6,CHARMS!$A$6:$CQ$89,49,),"")</f>
        <v/>
      </c>
      <c r="Q70" s="111" t="str">
        <f>IF(HLOOKUP(Q$6,CHARMS!$A$6:$CQ$89,49,)&lt;&gt;0,HLOOKUP(Q$6,CHARMS!$A$6:$CQ$89,49,),"")</f>
        <v/>
      </c>
      <c r="R70" s="111" t="str">
        <f>IF(HLOOKUP(R$6,CHARMS!$A$6:$CQ$89,49,)&lt;&gt;0,HLOOKUP(R$6,CHARMS!$A$6:$CQ$89,49,),"")</f>
        <v/>
      </c>
      <c r="S70" s="111" t="str">
        <f>IF(HLOOKUP(S$6,CHARMS!$A$6:$CQ$89,49,)&lt;&gt;0,HLOOKUP(S$6,CHARMS!$A$6:$CQ$89,49,),"")</f>
        <v/>
      </c>
      <c r="T70" s="111" t="str">
        <f>IF(HLOOKUP(T$6,CHARMS!$A$6:$CQ$89,49,)&lt;&gt;0,HLOOKUP(T$6,CHARMS!$A$6:$CQ$89,49,),"")</f>
        <v/>
      </c>
      <c r="U70" s="111" t="str">
        <f>IF(HLOOKUP(U$6,CHARMS!$A$6:$CQ$89,49,)&lt;&gt;0,HLOOKUP(U$6,CHARMS!$A$6:$CQ$89,49,),"")</f>
        <v/>
      </c>
      <c r="V70" s="111" t="str">
        <f>IF(HLOOKUP(V$6,CHARMS!$A$6:$CQ$89,49,)&lt;&gt;0,HLOOKUP(V$6,CHARMS!$A$6:$CQ$89,49,),"")</f>
        <v/>
      </c>
      <c r="W70" s="111" t="str">
        <f>IF(HLOOKUP(W$6,CHARMS!$A$6:$CQ$89,49,)&lt;&gt;0,HLOOKUP(W$6,CHARMS!$A$6:$CQ$89,49,),"")</f>
        <v/>
      </c>
      <c r="X70" s="111" t="str">
        <f>IF(HLOOKUP(X$6,CHARMS!$A$6:$CQ$89,49,)&lt;&gt;0,HLOOKUP(X$6,CHARMS!$A$6:$CQ$89,49,),"")</f>
        <v/>
      </c>
      <c r="Y70" s="111" t="str">
        <f>IF(HLOOKUP(Y$6,CHARMS!$A$6:$CQ$89,49,)&lt;&gt;0,HLOOKUP(Y$6,CHARMS!$A$6:$CQ$89,49,),"")</f>
        <v/>
      </c>
      <c r="Z70" s="111" t="str">
        <f>IF(HLOOKUP(Z$6,CHARMS!$A$6:$CQ$89,49,)&lt;&gt;0,HLOOKUP(Z$6,CHARMS!$A$6:$CQ$89,49,),"")</f>
        <v/>
      </c>
      <c r="AA70" s="111" t="str">
        <f>IF(HLOOKUP(AA$6,CHARMS!$A$6:$CQ$89,49,)&lt;&gt;0,HLOOKUP(AA$6,CHARMS!$A$6:$CQ$89,49,),"")</f>
        <v/>
      </c>
      <c r="AB70" s="111" t="str">
        <f>IF(HLOOKUP(AB$6,CHARMS!$A$6:$CQ$89,49,)&lt;&gt;0,HLOOKUP(AB$6,CHARMS!$A$6:$CQ$89,49,),"")</f>
        <v/>
      </c>
      <c r="AC70" s="111" t="str">
        <f>IF(HLOOKUP(AC$6,CHARMS!$A$6:$CQ$89,49,)&lt;&gt;0,HLOOKUP(AC$6,CHARMS!$A$6:$CQ$89,49,),"")</f>
        <v/>
      </c>
      <c r="AD70" s="111" t="str">
        <f>IF(HLOOKUP(AD$6,CHARMS!$A$6:$CQ$89,49,)&lt;&gt;0,HLOOKUP(AD$6,CHARMS!$A$6:$CQ$89,49,),"")</f>
        <v/>
      </c>
      <c r="AE70" s="111" t="str">
        <f>IF(HLOOKUP(AE$6,CHARMS!$A$6:$CQ$89,49,)&lt;&gt;0,HLOOKUP(AE$6,CHARMS!$A$6:$CQ$89,49,),"")</f>
        <v/>
      </c>
    </row>
    <row r="71" spans="1:31" s="83" customFormat="1" ht="30" customHeight="1" x14ac:dyDescent="0.25">
      <c r="A71" s="110" t="s">
        <v>360</v>
      </c>
      <c r="B71" s="111" t="str">
        <f>IF(HLOOKUP(B$6,CHARMS!$A$6:$CQ$89,72,)&lt;&gt;0,CONCATENATE("Internal: ",CHAR(10),HLOOKUP(B$6,CHARMS!$A$6:$CQ$89,72,)),"")</f>
        <v>Internal: 
No</v>
      </c>
      <c r="C71" s="111" t="str">
        <f>IF(HLOOKUP(C$6,CHARMS!$A$6:$CQ$89,72,)&lt;&gt;0,CONCATENATE("Internal: ",CHAR(10),HLOOKUP(C$6,CHARMS!$A$6:$CQ$89,72,)),"")</f>
        <v>Internal: 
No</v>
      </c>
      <c r="D71" s="111" t="str">
        <f>IF(HLOOKUP(D$6,CHARMS!$A$6:$CQ$89,72,)&lt;&gt;0,CONCATENATE("Internal: ",CHAR(10),HLOOKUP(D$6,CHARMS!$A$6:$CQ$89,72,)),"")</f>
        <v>Internal: 
No</v>
      </c>
      <c r="E71" s="111" t="str">
        <f>IF(HLOOKUP(E$6,CHARMS!$A$6:$CQ$89,72,)&lt;&gt;0,CONCATENATE("Internal: ",CHAR(10),HLOOKUP(E$6,CHARMS!$A$6:$CQ$89,72,)),"")</f>
        <v>Internal: 
No</v>
      </c>
      <c r="F71" s="111" t="str">
        <f>IF(HLOOKUP(F$6,CHARMS!$A$6:$CQ$89,72,)&lt;&gt;0,CONCATENATE("Internal: ",CHAR(10),HLOOKUP(F$6,CHARMS!$A$6:$CQ$89,72,)),"")</f>
        <v>Internal: 
No</v>
      </c>
      <c r="G71" s="111" t="str">
        <f>IF(HLOOKUP(G$6,CHARMS!$A$6:$CQ$89,72,)&lt;&gt;0,CONCATENATE("Internal: ",CHAR(10),HLOOKUP(G$6,CHARMS!$A$6:$CQ$89,72,)),"")</f>
        <v>Internal: 
No</v>
      </c>
      <c r="H71" s="111" t="str">
        <f>IF(HLOOKUP(H$6,CHARMS!$A$6:$CQ$89,72,)&lt;&gt;0,CONCATENATE("Internal: ",CHAR(10),HLOOKUP(H$6,CHARMS!$A$6:$CQ$89,72,)),"")</f>
        <v>Internal: 
No</v>
      </c>
      <c r="I71" s="111" t="str">
        <f>IF(HLOOKUP(I$6,CHARMS!$A$6:$CQ$89,72,)&lt;&gt;0,CONCATENATE("Internal: ",CHAR(10),HLOOKUP(I$6,CHARMS!$A$6:$CQ$89,72,)),"")</f>
        <v>Internal: 
No</v>
      </c>
      <c r="J71" s="111" t="str">
        <f>IF(HLOOKUP(J$6,CHARMS!$A$6:$CQ$89,72,)&lt;&gt;0,CONCATENATE("Internal: ",CHAR(10),HLOOKUP(J$6,CHARMS!$A$6:$CQ$89,72,)),"")</f>
        <v>Internal: 
No</v>
      </c>
      <c r="K71" s="111" t="str">
        <f>IF(HLOOKUP(K$6,CHARMS!$A$6:$CQ$89,72,)&lt;&gt;0,CONCATENATE("Internal: ",CHAR(10),HLOOKUP(K$6,CHARMS!$A$6:$CQ$89,72,)),"")</f>
        <v>Internal: 
No</v>
      </c>
      <c r="L71" s="111" t="str">
        <f>IF(HLOOKUP(L$6,CHARMS!$A$6:$CQ$89,72,)&lt;&gt;0,CONCATENATE("Internal: ",CHAR(10),HLOOKUP(L$6,CHARMS!$A$6:$CQ$89,72,)),"")</f>
        <v>Internal: 
No</v>
      </c>
      <c r="M71" s="111" t="str">
        <f>IF(HLOOKUP(M$6,CHARMS!$A$6:$CQ$89,72,)&lt;&gt;0,CONCATENATE("Internal: ",CHAR(10),HLOOKUP(M$6,CHARMS!$A$6:$CQ$89,72,)),"")</f>
        <v/>
      </c>
      <c r="N71" s="111" t="str">
        <f>IF(HLOOKUP(N$6,CHARMS!$A$6:$CQ$89,72,)&lt;&gt;0,CONCATENATE("Internal: ",CHAR(10),HLOOKUP(N$6,CHARMS!$A$6:$CQ$89,72,)),"")</f>
        <v/>
      </c>
      <c r="O71" s="111" t="str">
        <f>IF(HLOOKUP(O$6,CHARMS!$A$6:$CQ$89,72,)&lt;&gt;0,CONCATENATE("Internal: ",CHAR(10),HLOOKUP(O$6,CHARMS!$A$6:$CQ$89,72,)),"")</f>
        <v/>
      </c>
      <c r="P71" s="111" t="str">
        <f>IF(HLOOKUP(P$6,CHARMS!$A$6:$CQ$89,72,)&lt;&gt;0,CONCATENATE("Internal: ",CHAR(10),HLOOKUP(P$6,CHARMS!$A$6:$CQ$89,72,)),"")</f>
        <v/>
      </c>
      <c r="Q71" s="111" t="str">
        <f>IF(HLOOKUP(Q$6,CHARMS!$A$6:$CQ$89,72,)&lt;&gt;0,CONCATENATE("Internal: ",CHAR(10),HLOOKUP(Q$6,CHARMS!$A$6:$CQ$89,72,)),"")</f>
        <v/>
      </c>
      <c r="R71" s="111" t="str">
        <f>IF(HLOOKUP(R$6,CHARMS!$A$6:$CQ$89,72,)&lt;&gt;0,CONCATENATE("Internal: ",CHAR(10),HLOOKUP(R$6,CHARMS!$A$6:$CQ$89,72,)),"")</f>
        <v/>
      </c>
      <c r="S71" s="111" t="str">
        <f>IF(HLOOKUP(S$6,CHARMS!$A$6:$CQ$89,72,)&lt;&gt;0,CONCATENATE("Internal: ",CHAR(10),HLOOKUP(S$6,CHARMS!$A$6:$CQ$89,72,)),"")</f>
        <v/>
      </c>
      <c r="T71" s="111" t="str">
        <f>IF(HLOOKUP(T$6,CHARMS!$A$6:$CQ$89,72,)&lt;&gt;0,CONCATENATE("Internal: ",CHAR(10),HLOOKUP(T$6,CHARMS!$A$6:$CQ$89,72,)),"")</f>
        <v/>
      </c>
      <c r="U71" s="111" t="str">
        <f>IF(HLOOKUP(U$6,CHARMS!$A$6:$CQ$89,72,)&lt;&gt;0,CONCATENATE("Internal: ",CHAR(10),HLOOKUP(U$6,CHARMS!$A$6:$CQ$89,72,)),"")</f>
        <v/>
      </c>
      <c r="V71" s="111" t="str">
        <f>IF(HLOOKUP(V$6,CHARMS!$A$6:$CQ$89,72,)&lt;&gt;0,CONCATENATE("Internal: ",CHAR(10),HLOOKUP(V$6,CHARMS!$A$6:$CQ$89,72,)),"")</f>
        <v/>
      </c>
      <c r="W71" s="111" t="str">
        <f>IF(HLOOKUP(W$6,CHARMS!$A$6:$CQ$89,72,)&lt;&gt;0,CONCATENATE("Internal: ",CHAR(10),HLOOKUP(W$6,CHARMS!$A$6:$CQ$89,72,)),"")</f>
        <v/>
      </c>
      <c r="X71" s="111" t="str">
        <f>IF(HLOOKUP(X$6,CHARMS!$A$6:$CQ$89,72,)&lt;&gt;0,CONCATENATE("Internal: ",CHAR(10),HLOOKUP(X$6,CHARMS!$A$6:$CQ$89,72,)),"")</f>
        <v/>
      </c>
      <c r="Y71" s="111" t="str">
        <f>IF(HLOOKUP(Y$6,CHARMS!$A$6:$CQ$89,72,)&lt;&gt;0,CONCATENATE("Internal: ",CHAR(10),HLOOKUP(Y$6,CHARMS!$A$6:$CQ$89,72,)),"")</f>
        <v/>
      </c>
      <c r="Z71" s="111" t="str">
        <f>IF(HLOOKUP(Z$6,CHARMS!$A$6:$CQ$89,72,)&lt;&gt;0,CONCATENATE("Internal: ",CHAR(10),HLOOKUP(Z$6,CHARMS!$A$6:$CQ$89,72,)),"")</f>
        <v/>
      </c>
      <c r="AA71" s="111" t="str">
        <f>IF(HLOOKUP(AA$6,CHARMS!$A$6:$CQ$89,72,)&lt;&gt;0,CONCATENATE("Internal: ",CHAR(10),HLOOKUP(AA$6,CHARMS!$A$6:$CQ$89,72,)),"")</f>
        <v/>
      </c>
      <c r="AB71" s="111" t="str">
        <f>IF(HLOOKUP(AB$6,CHARMS!$A$6:$CQ$89,72,)&lt;&gt;0,CONCATENATE("Internal: ",CHAR(10),HLOOKUP(AB$6,CHARMS!$A$6:$CQ$89,72,)),"")</f>
        <v/>
      </c>
      <c r="AC71" s="111" t="str">
        <f>IF(HLOOKUP(AC$6,CHARMS!$A$6:$CQ$89,72,)&lt;&gt;0,CONCATENATE("Internal: ",CHAR(10),HLOOKUP(AC$6,CHARMS!$A$6:$CQ$89,72,)),"")</f>
        <v/>
      </c>
      <c r="AD71" s="111" t="str">
        <f>IF(HLOOKUP(AD$6,CHARMS!$A$6:$CQ$89,72,)&lt;&gt;0,CONCATENATE("Internal: ",CHAR(10),HLOOKUP(AD$6,CHARMS!$A$6:$CQ$89,72,)),"")</f>
        <v/>
      </c>
      <c r="AE71" s="111" t="str">
        <f>IF(HLOOKUP(AE$6,CHARMS!$A$6:$CQ$89,72,)&lt;&gt;0,CONCATENATE("Internal: ",CHAR(10),HLOOKUP(AE$6,CHARMS!$A$6:$CQ$89,72,)),"")</f>
        <v/>
      </c>
    </row>
    <row r="72" spans="1:31" s="83" customFormat="1" ht="30" customHeight="1" x14ac:dyDescent="0.25">
      <c r="A72" s="110"/>
      <c r="B72" s="111" t="str">
        <f>IF(HLOOKUP(B$6,CHARMS!$A$6:$CQ$89,73,)&lt;&gt;0,CONCATENATE("External: ",CHAR(10),HLOOKUP(B$6,CHARMS!$A$6:$CQ$89,73,)),"")</f>
        <v>External: 
1</v>
      </c>
      <c r="C72" s="111" t="str">
        <f>IF(HLOOKUP(C$6,CHARMS!$A$6:$CQ$89,73,)&lt;&gt;0,CONCATENATE("External: ",CHAR(10),HLOOKUP(C$6,CHARMS!$A$6:$CQ$89,73,)),"")</f>
        <v>External: 
1</v>
      </c>
      <c r="D72" s="111" t="str">
        <f>IF(HLOOKUP(D$6,CHARMS!$A$6:$CQ$89,73,)&lt;&gt;0,CONCATENATE("External: ",CHAR(10),HLOOKUP(D$6,CHARMS!$A$6:$CQ$89,73,)),"")</f>
        <v>External: 
1</v>
      </c>
      <c r="E72" s="111" t="str">
        <f>IF(HLOOKUP(E$6,CHARMS!$A$6:$CQ$89,73,)&lt;&gt;0,CONCATENATE("External: ",CHAR(10),HLOOKUP(E$6,CHARMS!$A$6:$CQ$89,73,)),"")</f>
        <v>External: 
1</v>
      </c>
      <c r="F72" s="111" t="str">
        <f>IF(HLOOKUP(F$6,CHARMS!$A$6:$CQ$89,73,)&lt;&gt;0,CONCATENATE("External: ",CHAR(10),HLOOKUP(F$6,CHARMS!$A$6:$CQ$89,73,)),"")</f>
        <v>External: 
1</v>
      </c>
      <c r="G72" s="111" t="str">
        <f>IF(HLOOKUP(G$6,CHARMS!$A$6:$CQ$89,73,)&lt;&gt;0,CONCATENATE("External: ",CHAR(10),HLOOKUP(G$6,CHARMS!$A$6:$CQ$89,73,)),"")</f>
        <v>External: 
1</v>
      </c>
      <c r="H72" s="111" t="str">
        <f>IF(HLOOKUP(H$6,CHARMS!$A$6:$CQ$89,73,)&lt;&gt;0,CONCATENATE("External: ",CHAR(10),HLOOKUP(H$6,CHARMS!$A$6:$CQ$89,73,)),"")</f>
        <v>External: 
1</v>
      </c>
      <c r="I72" s="111" t="str">
        <f>IF(HLOOKUP(I$6,CHARMS!$A$6:$CQ$89,73,)&lt;&gt;0,CONCATENATE("External: ",CHAR(10),HLOOKUP(I$6,CHARMS!$A$6:$CQ$89,73,)),"")</f>
        <v>External: 
1</v>
      </c>
      <c r="J72" s="111" t="str">
        <f>IF(HLOOKUP(J$6,CHARMS!$A$6:$CQ$89,73,)&lt;&gt;0,CONCATENATE("External: ",CHAR(10),HLOOKUP(J$6,CHARMS!$A$6:$CQ$89,73,)),"")</f>
        <v>External: 
1</v>
      </c>
      <c r="K72" s="111" t="str">
        <f>IF(HLOOKUP(K$6,CHARMS!$A$6:$CQ$89,73,)&lt;&gt;0,CONCATENATE("External: ",CHAR(10),HLOOKUP(K$6,CHARMS!$A$6:$CQ$89,73,)),"")</f>
        <v>External: 
1</v>
      </c>
      <c r="L72" s="111" t="str">
        <f>IF(HLOOKUP(L$6,CHARMS!$A$6:$CQ$89,73,)&lt;&gt;0,CONCATENATE("External: ",CHAR(10),HLOOKUP(L$6,CHARMS!$A$6:$CQ$89,73,)),"")</f>
        <v>External: 
1</v>
      </c>
      <c r="M72" s="111" t="str">
        <f>IF(HLOOKUP(M$6,CHARMS!$A$6:$CQ$89,73,)&lt;&gt;0,CONCATENATE("External: ",CHAR(10),HLOOKUP(M$6,CHARMS!$A$6:$CQ$89,73,)),"")</f>
        <v xml:space="preserve">External: 
</v>
      </c>
      <c r="N72" s="111" t="str">
        <f>IF(HLOOKUP(N$6,CHARMS!$A$6:$CQ$89,73,)&lt;&gt;0,CONCATENATE("External: ",CHAR(10),HLOOKUP(N$6,CHARMS!$A$6:$CQ$89,73,)),"")</f>
        <v xml:space="preserve">External: 
</v>
      </c>
      <c r="O72" s="111" t="str">
        <f>IF(HLOOKUP(O$6,CHARMS!$A$6:$CQ$89,73,)&lt;&gt;0,CONCATENATE("External: ",CHAR(10),HLOOKUP(O$6,CHARMS!$A$6:$CQ$89,73,)),"")</f>
        <v xml:space="preserve">External: 
</v>
      </c>
      <c r="P72" s="111" t="str">
        <f>IF(HLOOKUP(P$6,CHARMS!$A$6:$CQ$89,73,)&lt;&gt;0,CONCATENATE("External: ",CHAR(10),HLOOKUP(P$6,CHARMS!$A$6:$CQ$89,73,)),"")</f>
        <v xml:space="preserve">External: 
</v>
      </c>
      <c r="Q72" s="111" t="str">
        <f>IF(HLOOKUP(Q$6,CHARMS!$A$6:$CQ$89,73,)&lt;&gt;0,CONCATENATE("External: ",CHAR(10),HLOOKUP(Q$6,CHARMS!$A$6:$CQ$89,73,)),"")</f>
        <v xml:space="preserve">External: 
</v>
      </c>
      <c r="R72" s="111" t="str">
        <f>IF(HLOOKUP(R$6,CHARMS!$A$6:$CQ$89,73,)&lt;&gt;0,CONCATENATE("External: ",CHAR(10),HLOOKUP(R$6,CHARMS!$A$6:$CQ$89,73,)),"")</f>
        <v xml:space="preserve">External: 
</v>
      </c>
      <c r="S72" s="111" t="str">
        <f>IF(HLOOKUP(S$6,CHARMS!$A$6:$CQ$89,73,)&lt;&gt;0,CONCATENATE("External: ",CHAR(10),HLOOKUP(S$6,CHARMS!$A$6:$CQ$89,73,)),"")</f>
        <v xml:space="preserve">External: 
</v>
      </c>
      <c r="T72" s="111" t="str">
        <f>IF(HLOOKUP(T$6,CHARMS!$A$6:$CQ$89,73,)&lt;&gt;0,CONCATENATE("External: ",CHAR(10),HLOOKUP(T$6,CHARMS!$A$6:$CQ$89,73,)),"")</f>
        <v xml:space="preserve">External: 
</v>
      </c>
      <c r="U72" s="111" t="str">
        <f>IF(HLOOKUP(U$6,CHARMS!$A$6:$CQ$89,73,)&lt;&gt;0,CONCATENATE("External: ",CHAR(10),HLOOKUP(U$6,CHARMS!$A$6:$CQ$89,73,)),"")</f>
        <v xml:space="preserve">External: 
</v>
      </c>
      <c r="V72" s="111" t="str">
        <f>IF(HLOOKUP(V$6,CHARMS!$A$6:$CQ$89,73,)&lt;&gt;0,CONCATENATE("External: ",CHAR(10),HLOOKUP(V$6,CHARMS!$A$6:$CQ$89,73,)),"")</f>
        <v xml:space="preserve">External: 
</v>
      </c>
      <c r="W72" s="111" t="str">
        <f>IF(HLOOKUP(W$6,CHARMS!$A$6:$CQ$89,73,)&lt;&gt;0,CONCATENATE("External: ",CHAR(10),HLOOKUP(W$6,CHARMS!$A$6:$CQ$89,73,)),"")</f>
        <v xml:space="preserve">External: 
</v>
      </c>
      <c r="X72" s="111" t="str">
        <f>IF(HLOOKUP(X$6,CHARMS!$A$6:$CQ$89,73,)&lt;&gt;0,CONCATENATE("External: ",CHAR(10),HLOOKUP(X$6,CHARMS!$A$6:$CQ$89,73,)),"")</f>
        <v xml:space="preserve">External: 
</v>
      </c>
      <c r="Y72" s="111" t="str">
        <f>IF(HLOOKUP(Y$6,CHARMS!$A$6:$CQ$89,73,)&lt;&gt;0,CONCATENATE("External: ",CHAR(10),HLOOKUP(Y$6,CHARMS!$A$6:$CQ$89,73,)),"")</f>
        <v xml:space="preserve">External: 
</v>
      </c>
      <c r="Z72" s="111" t="str">
        <f>IF(HLOOKUP(Z$6,CHARMS!$A$6:$CQ$89,73,)&lt;&gt;0,CONCATENATE("External: ",CHAR(10),HLOOKUP(Z$6,CHARMS!$A$6:$CQ$89,73,)),"")</f>
        <v xml:space="preserve">External: 
</v>
      </c>
      <c r="AA72" s="111" t="str">
        <f>IF(HLOOKUP(AA$6,CHARMS!$A$6:$CQ$89,73,)&lt;&gt;0,CONCATENATE("External: ",CHAR(10),HLOOKUP(AA$6,CHARMS!$A$6:$CQ$89,73,)),"")</f>
        <v xml:space="preserve">External: 
</v>
      </c>
      <c r="AB72" s="111" t="str">
        <f>IF(HLOOKUP(AB$6,CHARMS!$A$6:$CQ$89,73,)&lt;&gt;0,CONCATENATE("External: ",CHAR(10),HLOOKUP(AB$6,CHARMS!$A$6:$CQ$89,73,)),"")</f>
        <v xml:space="preserve">External: 
</v>
      </c>
      <c r="AC72" s="111" t="str">
        <f>IF(HLOOKUP(AC$6,CHARMS!$A$6:$CQ$89,73,)&lt;&gt;0,CONCATENATE("External: ",CHAR(10),HLOOKUP(AC$6,CHARMS!$A$6:$CQ$89,73,)),"")</f>
        <v xml:space="preserve">External: 
</v>
      </c>
      <c r="AD72" s="111" t="str">
        <f>IF(HLOOKUP(AD$6,CHARMS!$A$6:$CQ$89,73,)&lt;&gt;0,CONCATENATE("External: ",CHAR(10),HLOOKUP(AD$6,CHARMS!$A$6:$CQ$89,73,)),"")</f>
        <v xml:space="preserve">External: 
</v>
      </c>
      <c r="AE72" s="111" t="str">
        <f>IF(HLOOKUP(AE$6,CHARMS!$A$6:$CQ$89,73,)&lt;&gt;0,CONCATENATE("External: ",CHAR(10),HLOOKUP(AE$6,CHARMS!$A$6:$CQ$89,73,)),"")</f>
        <v xml:space="preserve">External: 
</v>
      </c>
    </row>
    <row r="73" spans="1:31" s="83" customFormat="1" ht="30" customHeight="1" x14ac:dyDescent="0.25">
      <c r="A73" s="110" t="s">
        <v>361</v>
      </c>
      <c r="B73" s="111" t="str">
        <f>IF(HLOOKUP(B$6,CHARMS!$A$6:$CQ$89,53,)&lt;&gt;"",CONCATENATE("Calibration: ",CHAR(10),HLOOKUP(B$6,CHARMS!$A$6:$CQ$89,53,)),"")</f>
        <v xml:space="preserve">Calibration: 
Calibration plot </v>
      </c>
      <c r="C73" s="111" t="str">
        <f>IF(HLOOKUP(C$6,CHARMS!$A$6:$CQ$89,53,)&lt;&gt;"",CONCATENATE("Calibration: ",CHAR(10),HLOOKUP(C$6,CHARMS!$A$6:$CQ$89,53,)),"")</f>
        <v xml:space="preserve">Calibration: 
HL test </v>
      </c>
      <c r="D73" s="111" t="str">
        <f>IF(HLOOKUP(D$6,CHARMS!$A$6:$CQ$89,53,)&lt;&gt;"",CONCATENATE("Calibration: ",CHAR(10),HLOOKUP(D$6,CHARMS!$A$6:$CQ$89,53,)),"")</f>
        <v xml:space="preserve">Calibration: 
HL test </v>
      </c>
      <c r="E73" s="111" t="str">
        <f>IF(HLOOKUP(E$6,CHARMS!$A$6:$CQ$89,53,)&lt;&gt;"",CONCATENATE("Calibration: ",CHAR(10),HLOOKUP(E$6,CHARMS!$A$6:$CQ$89,53,)),"")</f>
        <v xml:space="preserve">Calibration: 
Calibration plot / Slope / CITL / HL test </v>
      </c>
      <c r="F73" s="111" t="str">
        <f>IF(HLOOKUP(F$6,CHARMS!$A$6:$CQ$89,53,)&lt;&gt;"",CONCATENATE("Calibration: ",CHAR(10),HLOOKUP(F$6,CHARMS!$A$6:$CQ$89,53,)),"")</f>
        <v xml:space="preserve">Calibration: 
HL test </v>
      </c>
      <c r="G73" s="111" t="str">
        <f>IF(HLOOKUP(G$6,CHARMS!$A$6:$CQ$89,53,)&lt;&gt;"",CONCATENATE("Calibration: ",CHAR(10),HLOOKUP(G$6,CHARMS!$A$6:$CQ$89,53,)),"")</f>
        <v xml:space="preserve">Calibration: 
HL test </v>
      </c>
      <c r="H73" s="111" t="str">
        <f>IF(HLOOKUP(H$6,CHARMS!$A$6:$CQ$89,53,)&lt;&gt;"",CONCATENATE("Calibration: ",CHAR(10),HLOOKUP(H$6,CHARMS!$A$6:$CQ$89,53,)),"")</f>
        <v>Calibration: 
Comparison of actual CITL and slope with the ideal values</v>
      </c>
      <c r="I73" s="111" t="str">
        <f>IF(HLOOKUP(I$6,CHARMS!$A$6:$CQ$89,53,)&lt;&gt;"",CONCATENATE("Calibration: ",CHAR(10),HLOOKUP(I$6,CHARMS!$A$6:$CQ$89,53,)),"")</f>
        <v xml:space="preserve">Calibration: 
HL test </v>
      </c>
      <c r="J73" s="111" t="str">
        <f>IF(HLOOKUP(J$6,CHARMS!$A$6:$CQ$89,53,)&lt;&gt;"",CONCATENATE("Calibration: ",CHAR(10),HLOOKUP(J$6,CHARMS!$A$6:$CQ$89,53,)),"")</f>
        <v xml:space="preserve">Calibration: 
Calibration plot / HL test </v>
      </c>
      <c r="K73" s="111" t="str">
        <f>IF(HLOOKUP(K$6,CHARMS!$A$6:$CQ$89,53,)&lt;&gt;"",CONCATENATE("Calibration: ",CHAR(10),HLOOKUP(K$6,CHARMS!$A$6:$CQ$89,53,)),"")</f>
        <v xml:space="preserve">Calibration: 
Calibration plot / Slope / CITL </v>
      </c>
      <c r="L73" s="111" t="str">
        <f>IF(HLOOKUP(L$6,CHARMS!$A$6:$CQ$89,53,)&lt;&gt;"",CONCATENATE("Calibration: ",CHAR(10),HLOOKUP(L$6,CHARMS!$A$6:$CQ$89,53,)),"")</f>
        <v xml:space="preserve">Calibration: 
Calibration plot / Slope / CITL </v>
      </c>
      <c r="M73" s="111" t="str">
        <f>IF(HLOOKUP(M$6,CHARMS!$A$6:$CQ$89,53,)&lt;&gt;"",CONCATENATE("Calibration: ",CHAR(10),HLOOKUP(M$6,CHARMS!$A$6:$CQ$89,53,)),"")</f>
        <v/>
      </c>
      <c r="N73" s="111" t="str">
        <f>IF(HLOOKUP(N$6,CHARMS!$A$6:$CQ$89,53,)&lt;&gt;"",CONCATENATE("Calibration: ",CHAR(10),HLOOKUP(N$6,CHARMS!$A$6:$CQ$89,53,)),"")</f>
        <v/>
      </c>
      <c r="O73" s="111" t="str">
        <f>IF(HLOOKUP(O$6,CHARMS!$A$6:$CQ$89,53,)&lt;&gt;"",CONCATENATE("Calibration: ",CHAR(10),HLOOKUP(O$6,CHARMS!$A$6:$CQ$89,53,)),"")</f>
        <v/>
      </c>
      <c r="P73" s="111" t="str">
        <f>IF(HLOOKUP(P$6,CHARMS!$A$6:$CQ$89,53,)&lt;&gt;"",CONCATENATE("Calibration: ",CHAR(10),HLOOKUP(P$6,CHARMS!$A$6:$CQ$89,53,)),"")</f>
        <v/>
      </c>
      <c r="Q73" s="111" t="str">
        <f>IF(HLOOKUP(Q$6,CHARMS!$A$6:$CQ$89,53,)&lt;&gt;"",CONCATENATE("Calibration: ",CHAR(10),HLOOKUP(Q$6,CHARMS!$A$6:$CQ$89,53,)),"")</f>
        <v/>
      </c>
      <c r="R73" s="111" t="str">
        <f>IF(HLOOKUP(R$6,CHARMS!$A$6:$CQ$89,53,)&lt;&gt;"",CONCATENATE("Calibration: ",CHAR(10),HLOOKUP(R$6,CHARMS!$A$6:$CQ$89,53,)),"")</f>
        <v/>
      </c>
      <c r="S73" s="111" t="str">
        <f>IF(HLOOKUP(S$6,CHARMS!$A$6:$CQ$89,53,)&lt;&gt;"",CONCATENATE("Calibration: ",CHAR(10),HLOOKUP(S$6,CHARMS!$A$6:$CQ$89,53,)),"")</f>
        <v/>
      </c>
      <c r="T73" s="111" t="str">
        <f>IF(HLOOKUP(T$6,CHARMS!$A$6:$CQ$89,53,)&lt;&gt;"",CONCATENATE("Calibration: ",CHAR(10),HLOOKUP(T$6,CHARMS!$A$6:$CQ$89,53,)),"")</f>
        <v/>
      </c>
      <c r="U73" s="111" t="str">
        <f>IF(HLOOKUP(U$6,CHARMS!$A$6:$CQ$89,53,)&lt;&gt;"",CONCATENATE("Calibration: ",CHAR(10),HLOOKUP(U$6,CHARMS!$A$6:$CQ$89,53,)),"")</f>
        <v/>
      </c>
      <c r="V73" s="111" t="str">
        <f>IF(HLOOKUP(V$6,CHARMS!$A$6:$CQ$89,53,)&lt;&gt;"",CONCATENATE("Calibration: ",CHAR(10),HLOOKUP(V$6,CHARMS!$A$6:$CQ$89,53,)),"")</f>
        <v/>
      </c>
      <c r="W73" s="111" t="str">
        <f>IF(HLOOKUP(W$6,CHARMS!$A$6:$CQ$89,53,)&lt;&gt;"",CONCATENATE("Calibration: ",CHAR(10),HLOOKUP(W$6,CHARMS!$A$6:$CQ$89,53,)),"")</f>
        <v/>
      </c>
      <c r="X73" s="111" t="str">
        <f>IF(HLOOKUP(X$6,CHARMS!$A$6:$CQ$89,53,)&lt;&gt;"",CONCATENATE("Calibration: ",CHAR(10),HLOOKUP(X$6,CHARMS!$A$6:$CQ$89,53,)),"")</f>
        <v/>
      </c>
      <c r="Y73" s="111" t="str">
        <f>IF(HLOOKUP(Y$6,CHARMS!$A$6:$CQ$89,53,)&lt;&gt;"",CONCATENATE("Calibration: ",CHAR(10),HLOOKUP(Y$6,CHARMS!$A$6:$CQ$89,53,)),"")</f>
        <v/>
      </c>
      <c r="Z73" s="111" t="str">
        <f>IF(HLOOKUP(Z$6,CHARMS!$A$6:$CQ$89,53,)&lt;&gt;"",CONCATENATE("Calibration: ",CHAR(10),HLOOKUP(Z$6,CHARMS!$A$6:$CQ$89,53,)),"")</f>
        <v/>
      </c>
      <c r="AA73" s="111" t="str">
        <f>IF(HLOOKUP(AA$6,CHARMS!$A$6:$CQ$89,53,)&lt;&gt;"",CONCATENATE("Calibration: ",CHAR(10),HLOOKUP(AA$6,CHARMS!$A$6:$CQ$89,53,)),"")</f>
        <v/>
      </c>
      <c r="AB73" s="111" t="str">
        <f>IF(HLOOKUP(AB$6,CHARMS!$A$6:$CQ$89,53,)&lt;&gt;"",CONCATENATE("Calibration: ",CHAR(10),HLOOKUP(AB$6,CHARMS!$A$6:$CQ$89,53,)),"")</f>
        <v/>
      </c>
      <c r="AC73" s="111" t="str">
        <f>IF(HLOOKUP(AC$6,CHARMS!$A$6:$CQ$89,53,)&lt;&gt;"",CONCATENATE("Calibration: ",CHAR(10),HLOOKUP(AC$6,CHARMS!$A$6:$CQ$89,53,)),"")</f>
        <v/>
      </c>
      <c r="AD73" s="111" t="str">
        <f>IF(HLOOKUP(AD$6,CHARMS!$A$6:$CQ$89,53,)&lt;&gt;"",CONCATENATE("Calibration: ",CHAR(10),HLOOKUP(AD$6,CHARMS!$A$6:$CQ$89,53,)),"")</f>
        <v/>
      </c>
      <c r="AE73" s="111" t="str">
        <f>IF(HLOOKUP(AE$6,CHARMS!$A$6:$CQ$89,53,)&lt;&gt;"",CONCATENATE("Calibration: ",CHAR(10),HLOOKUP(AE$6,CHARMS!$A$6:$CQ$89,53,)),"")</f>
        <v/>
      </c>
    </row>
    <row r="74" spans="1:31" s="83" customFormat="1" ht="30" customHeight="1" x14ac:dyDescent="0.25">
      <c r="A74" s="110"/>
      <c r="B74" s="111" t="str">
        <f>IF(HLOOKUP(B$6,CHARMS!$A$6:$CQ$89,59,)&lt;&gt;"",CONCATENATE("Discrimination: ",CHAR(10),HLOOKUP(B$6,CHARMS!$A$6:$CQ$89,59,)),"")</f>
        <v xml:space="preserve">Discrimination: 
C-Statistic </v>
      </c>
      <c r="C74" s="111" t="str">
        <f>IF(HLOOKUP(C$6,CHARMS!$A$6:$CQ$89,59,)&lt;&gt;"",CONCATENATE("Discrimination: ",CHAR(10),HLOOKUP(C$6,CHARMS!$A$6:$CQ$89,59,)),"")</f>
        <v xml:space="preserve">Discrimination: 
C-Statistic / AUC graph </v>
      </c>
      <c r="D74" s="111" t="str">
        <f>IF(HLOOKUP(D$6,CHARMS!$A$6:$CQ$89,59,)&lt;&gt;"",CONCATENATE("Discrimination: ",CHAR(10),HLOOKUP(D$6,CHARMS!$A$6:$CQ$89,59,)),"")</f>
        <v xml:space="preserve">Discrimination: 
C-Statistic / AUC graph </v>
      </c>
      <c r="E74" s="111" t="str">
        <f>IF(HLOOKUP(E$6,CHARMS!$A$6:$CQ$89,59,)&lt;&gt;"",CONCATENATE("Discrimination: ",CHAR(10),HLOOKUP(E$6,CHARMS!$A$6:$CQ$89,59,)),"")</f>
        <v xml:space="preserve">Discrimination: 
C-Statistic / AUC graph </v>
      </c>
      <c r="F74" s="111" t="str">
        <f>IF(HLOOKUP(F$6,CHARMS!$A$6:$CQ$89,59,)&lt;&gt;"",CONCATENATE("Discrimination: ",CHAR(10),HLOOKUP(F$6,CHARMS!$A$6:$CQ$89,59,)),"")</f>
        <v xml:space="preserve">Discrimination: 
C-Statistic / AUC graph </v>
      </c>
      <c r="G74" s="111" t="str">
        <f>IF(HLOOKUP(G$6,CHARMS!$A$6:$CQ$89,59,)&lt;&gt;"",CONCATENATE("Discrimination: ",CHAR(10),HLOOKUP(G$6,CHARMS!$A$6:$CQ$89,59,)),"")</f>
        <v xml:space="preserve">Discrimination: 
C-Statistic / AUC graph </v>
      </c>
      <c r="H74" s="111" t="str">
        <f>IF(HLOOKUP(H$6,CHARMS!$A$6:$CQ$89,59,)&lt;&gt;"",CONCATENATE("Discrimination: ",CHAR(10),HLOOKUP(H$6,CHARMS!$A$6:$CQ$89,59,)),"")</f>
        <v xml:space="preserve">Discrimination: 
C-Statistic / AUC graph </v>
      </c>
      <c r="I74" s="111" t="str">
        <f>IF(HLOOKUP(I$6,CHARMS!$A$6:$CQ$89,59,)&lt;&gt;"",CONCATENATE("Discrimination: ",CHAR(10),HLOOKUP(I$6,CHARMS!$A$6:$CQ$89,59,)),"")</f>
        <v xml:space="preserve">Discrimination: 
C-Statistic / AUC graph </v>
      </c>
      <c r="J74" s="111" t="str">
        <f>IF(HLOOKUP(J$6,CHARMS!$A$6:$CQ$89,59,)&lt;&gt;"",CONCATENATE("Discrimination: ",CHAR(10),HLOOKUP(J$6,CHARMS!$A$6:$CQ$89,59,)),"")</f>
        <v xml:space="preserve">Discrimination: 
C-Statistic / AUC graph </v>
      </c>
      <c r="K74" s="111" t="str">
        <f>IF(HLOOKUP(K$6,CHARMS!$A$6:$CQ$89,59,)&lt;&gt;"",CONCATENATE("Discrimination: ",CHAR(10),HLOOKUP(K$6,CHARMS!$A$6:$CQ$89,59,)),"")</f>
        <v xml:space="preserve">Discrimination: 
C-Statistic / AUC graph </v>
      </c>
      <c r="L74" s="111" t="str">
        <f>IF(HLOOKUP(L$6,CHARMS!$A$6:$CQ$89,59,)&lt;&gt;"",CONCATENATE("Discrimination: ",CHAR(10),HLOOKUP(L$6,CHARMS!$A$6:$CQ$89,59,)),"")</f>
        <v xml:space="preserve">Discrimination: 
C-Statistic / AUC graph </v>
      </c>
      <c r="M74" s="111" t="str">
        <f>IF(HLOOKUP(M$6,CHARMS!$A$6:$CQ$89,59,)&lt;&gt;"",CONCATENATE("Discrimination: ",CHAR(10),HLOOKUP(M$6,CHARMS!$A$6:$CQ$89,59,)),"")</f>
        <v/>
      </c>
      <c r="N74" s="111" t="str">
        <f>IF(HLOOKUP(N$6,CHARMS!$A$6:$CQ$89,59,)&lt;&gt;"",CONCATENATE("Discrimination: ",CHAR(10),HLOOKUP(N$6,CHARMS!$A$6:$CQ$89,59,)),"")</f>
        <v/>
      </c>
      <c r="O74" s="111" t="str">
        <f>IF(HLOOKUP(O$6,CHARMS!$A$6:$CQ$89,59,)&lt;&gt;"",CONCATENATE("Discrimination: ",CHAR(10),HLOOKUP(O$6,CHARMS!$A$6:$CQ$89,59,)),"")</f>
        <v/>
      </c>
      <c r="P74" s="111" t="str">
        <f>IF(HLOOKUP(P$6,CHARMS!$A$6:$CQ$89,59,)&lt;&gt;"",CONCATENATE("Discrimination: ",CHAR(10),HLOOKUP(P$6,CHARMS!$A$6:$CQ$89,59,)),"")</f>
        <v/>
      </c>
      <c r="Q74" s="111" t="str">
        <f>IF(HLOOKUP(Q$6,CHARMS!$A$6:$CQ$89,59,)&lt;&gt;"",CONCATENATE("Discrimination: ",CHAR(10),HLOOKUP(Q$6,CHARMS!$A$6:$CQ$89,59,)),"")</f>
        <v/>
      </c>
      <c r="R74" s="111" t="str">
        <f>IF(HLOOKUP(R$6,CHARMS!$A$6:$CQ$89,59,)&lt;&gt;"",CONCATENATE("Discrimination: ",CHAR(10),HLOOKUP(R$6,CHARMS!$A$6:$CQ$89,59,)),"")</f>
        <v/>
      </c>
      <c r="S74" s="111" t="str">
        <f>IF(HLOOKUP(S$6,CHARMS!$A$6:$CQ$89,59,)&lt;&gt;"",CONCATENATE("Discrimination: ",CHAR(10),HLOOKUP(S$6,CHARMS!$A$6:$CQ$89,59,)),"")</f>
        <v/>
      </c>
      <c r="T74" s="111" t="str">
        <f>IF(HLOOKUP(T$6,CHARMS!$A$6:$CQ$89,59,)&lt;&gt;"",CONCATENATE("Discrimination: ",CHAR(10),HLOOKUP(T$6,CHARMS!$A$6:$CQ$89,59,)),"")</f>
        <v/>
      </c>
      <c r="U74" s="111" t="str">
        <f>IF(HLOOKUP(U$6,CHARMS!$A$6:$CQ$89,59,)&lt;&gt;"",CONCATENATE("Discrimination: ",CHAR(10),HLOOKUP(U$6,CHARMS!$A$6:$CQ$89,59,)),"")</f>
        <v/>
      </c>
      <c r="V74" s="111" t="str">
        <f>IF(HLOOKUP(V$6,CHARMS!$A$6:$CQ$89,59,)&lt;&gt;"",CONCATENATE("Discrimination: ",CHAR(10),HLOOKUP(V$6,CHARMS!$A$6:$CQ$89,59,)),"")</f>
        <v/>
      </c>
      <c r="W74" s="111" t="str">
        <f>IF(HLOOKUP(W$6,CHARMS!$A$6:$CQ$89,59,)&lt;&gt;"",CONCATENATE("Discrimination: ",CHAR(10),HLOOKUP(W$6,CHARMS!$A$6:$CQ$89,59,)),"")</f>
        <v/>
      </c>
      <c r="X74" s="111" t="str">
        <f>IF(HLOOKUP(X$6,CHARMS!$A$6:$CQ$89,59,)&lt;&gt;"",CONCATENATE("Discrimination: ",CHAR(10),HLOOKUP(X$6,CHARMS!$A$6:$CQ$89,59,)),"")</f>
        <v/>
      </c>
      <c r="Y74" s="111" t="str">
        <f>IF(HLOOKUP(Y$6,CHARMS!$A$6:$CQ$89,59,)&lt;&gt;"",CONCATENATE("Discrimination: ",CHAR(10),HLOOKUP(Y$6,CHARMS!$A$6:$CQ$89,59,)),"")</f>
        <v/>
      </c>
      <c r="Z74" s="111" t="str">
        <f>IF(HLOOKUP(Z$6,CHARMS!$A$6:$CQ$89,59,)&lt;&gt;"",CONCATENATE("Discrimination: ",CHAR(10),HLOOKUP(Z$6,CHARMS!$A$6:$CQ$89,59,)),"")</f>
        <v/>
      </c>
      <c r="AA74" s="111" t="str">
        <f>IF(HLOOKUP(AA$6,CHARMS!$A$6:$CQ$89,59,)&lt;&gt;"",CONCATENATE("Discrimination: ",CHAR(10),HLOOKUP(AA$6,CHARMS!$A$6:$CQ$89,59,)),"")</f>
        <v/>
      </c>
      <c r="AB74" s="111" t="str">
        <f>IF(HLOOKUP(AB$6,CHARMS!$A$6:$CQ$89,59,)&lt;&gt;"",CONCATENATE("Discrimination: ",CHAR(10),HLOOKUP(AB$6,CHARMS!$A$6:$CQ$89,59,)),"")</f>
        <v/>
      </c>
      <c r="AC74" s="111" t="str">
        <f>IF(HLOOKUP(AC$6,CHARMS!$A$6:$CQ$89,59,)&lt;&gt;"",CONCATENATE("Discrimination: ",CHAR(10),HLOOKUP(AC$6,CHARMS!$A$6:$CQ$89,59,)),"")</f>
        <v/>
      </c>
      <c r="AD74" s="111" t="str">
        <f>IF(HLOOKUP(AD$6,CHARMS!$A$6:$CQ$89,59,)&lt;&gt;"",CONCATENATE("Discrimination: ",CHAR(10),HLOOKUP(AD$6,CHARMS!$A$6:$CQ$89,59,)),"")</f>
        <v/>
      </c>
      <c r="AE74" s="111" t="str">
        <f>IF(HLOOKUP(AE$6,CHARMS!$A$6:$CQ$89,59,)&lt;&gt;"",CONCATENATE("Discrimination: ",CHAR(10),HLOOKUP(AE$6,CHARMS!$A$6:$CQ$89,59,)),"")</f>
        <v/>
      </c>
    </row>
    <row r="75" spans="1:31" s="83" customFormat="1" ht="30" customHeight="1" x14ac:dyDescent="0.25">
      <c r="A75" s="110"/>
      <c r="B75" s="111" t="str">
        <f>IF(HLOOKUP(B$6,CHARMS!$A$6:$CQ$89,66,)&lt;&gt;"",CONCATENATE("Overall: ",CHAR(10),HLOOKUP(B$6,CHARMS!$A$6:$CQ$89,66,)),"")</f>
        <v>Overall: 
Not evaluated</v>
      </c>
      <c r="C75" s="111" t="str">
        <f>IF(HLOOKUP(C$6,CHARMS!$A$6:$CQ$89,66,)&lt;&gt;"",CONCATENATE("Overall: ",CHAR(10),HLOOKUP(C$6,CHARMS!$A$6:$CQ$89,66,)),"")</f>
        <v>Overall: 
Not evaluated</v>
      </c>
      <c r="D75" s="111" t="str">
        <f>IF(HLOOKUP(D$6,CHARMS!$A$6:$CQ$89,66,)&lt;&gt;"",CONCATENATE("Overall: ",CHAR(10),HLOOKUP(D$6,CHARMS!$A$6:$CQ$89,66,)),"")</f>
        <v>Overall: 
Not evaluated</v>
      </c>
      <c r="E75" s="111" t="str">
        <f>IF(HLOOKUP(E$6,CHARMS!$A$6:$CQ$89,66,)&lt;&gt;"",CONCATENATE("Overall: ",CHAR(10),HLOOKUP(E$6,CHARMS!$A$6:$CQ$89,66,)),"")</f>
        <v xml:space="preserve">Overall: 
Brier score </v>
      </c>
      <c r="F75" s="111" t="str">
        <f>IF(HLOOKUP(F$6,CHARMS!$A$6:$CQ$89,66,)&lt;&gt;"",CONCATENATE("Overall: ",CHAR(10),HLOOKUP(F$6,CHARMS!$A$6:$CQ$89,66,)),"")</f>
        <v>Overall: 
Not evaluated</v>
      </c>
      <c r="G75" s="111" t="str">
        <f>IF(HLOOKUP(G$6,CHARMS!$A$6:$CQ$89,66,)&lt;&gt;"",CONCATENATE("Overall: ",CHAR(10),HLOOKUP(G$6,CHARMS!$A$6:$CQ$89,66,)),"")</f>
        <v>Overall: 
Not evaluated</v>
      </c>
      <c r="H75" s="111" t="str">
        <f>IF(HLOOKUP(H$6,CHARMS!$A$6:$CQ$89,66,)&lt;&gt;"",CONCATENATE("Overall: ",CHAR(10),HLOOKUP(H$6,CHARMS!$A$6:$CQ$89,66,)),"")</f>
        <v xml:space="preserve">Overall: 
Brier score </v>
      </c>
      <c r="I75" s="111" t="str">
        <f>IF(HLOOKUP(I$6,CHARMS!$A$6:$CQ$89,66,)&lt;&gt;"",CONCATENATE("Overall: ",CHAR(10),HLOOKUP(I$6,CHARMS!$A$6:$CQ$89,66,)),"")</f>
        <v>Overall: 
Not evaluated</v>
      </c>
      <c r="J75" s="111" t="str">
        <f>IF(HLOOKUP(J$6,CHARMS!$A$6:$CQ$89,66,)&lt;&gt;"",CONCATENATE("Overall: ",CHAR(10),HLOOKUP(J$6,CHARMS!$A$6:$CQ$89,66,)),"")</f>
        <v>Overall: 
Not evaluated</v>
      </c>
      <c r="K75" s="111" t="str">
        <f>IF(HLOOKUP(K$6,CHARMS!$A$6:$CQ$89,66,)&lt;&gt;"",CONCATENATE("Overall: ",CHAR(10),HLOOKUP(K$6,CHARMS!$A$6:$CQ$89,66,)),"")</f>
        <v xml:space="preserve">Overall: 
Brier score </v>
      </c>
      <c r="L75" s="111" t="str">
        <f>IF(HLOOKUP(L$6,CHARMS!$A$6:$CQ$89,66,)&lt;&gt;"",CONCATENATE("Overall: ",CHAR(10),HLOOKUP(L$6,CHARMS!$A$6:$CQ$89,66,)),"")</f>
        <v xml:space="preserve">Overall: 
Brier score </v>
      </c>
      <c r="M75" s="111" t="str">
        <f>IF(HLOOKUP(M$6,CHARMS!$A$6:$CQ$89,66,)&lt;&gt;"",CONCATENATE("Overall: ",CHAR(10),HLOOKUP(M$6,CHARMS!$A$6:$CQ$89,66,)),"")</f>
        <v/>
      </c>
      <c r="N75" s="111" t="str">
        <f>IF(HLOOKUP(N$6,CHARMS!$A$6:$CQ$89,66,)&lt;&gt;"",CONCATENATE("Overall: ",CHAR(10),HLOOKUP(N$6,CHARMS!$A$6:$CQ$89,66,)),"")</f>
        <v/>
      </c>
      <c r="O75" s="111" t="str">
        <f>IF(HLOOKUP(O$6,CHARMS!$A$6:$CQ$89,66,)&lt;&gt;"",CONCATENATE("Overall: ",CHAR(10),HLOOKUP(O$6,CHARMS!$A$6:$CQ$89,66,)),"")</f>
        <v/>
      </c>
      <c r="P75" s="111" t="str">
        <f>IF(HLOOKUP(P$6,CHARMS!$A$6:$CQ$89,66,)&lt;&gt;"",CONCATENATE("Overall: ",CHAR(10),HLOOKUP(P$6,CHARMS!$A$6:$CQ$89,66,)),"")</f>
        <v/>
      </c>
      <c r="Q75" s="111" t="str">
        <f>IF(HLOOKUP(Q$6,CHARMS!$A$6:$CQ$89,66,)&lt;&gt;"",CONCATENATE("Overall: ",CHAR(10),HLOOKUP(Q$6,CHARMS!$A$6:$CQ$89,66,)),"")</f>
        <v/>
      </c>
      <c r="R75" s="111" t="str">
        <f>IF(HLOOKUP(R$6,CHARMS!$A$6:$CQ$89,66,)&lt;&gt;"",CONCATENATE("Overall: ",CHAR(10),HLOOKUP(R$6,CHARMS!$A$6:$CQ$89,66,)),"")</f>
        <v/>
      </c>
      <c r="S75" s="111" t="str">
        <f>IF(HLOOKUP(S$6,CHARMS!$A$6:$CQ$89,66,)&lt;&gt;"",CONCATENATE("Overall: ",CHAR(10),HLOOKUP(S$6,CHARMS!$A$6:$CQ$89,66,)),"")</f>
        <v/>
      </c>
      <c r="T75" s="111" t="str">
        <f>IF(HLOOKUP(T$6,CHARMS!$A$6:$CQ$89,66,)&lt;&gt;"",CONCATENATE("Overall: ",CHAR(10),HLOOKUP(T$6,CHARMS!$A$6:$CQ$89,66,)),"")</f>
        <v/>
      </c>
      <c r="U75" s="111" t="str">
        <f>IF(HLOOKUP(U$6,CHARMS!$A$6:$CQ$89,66,)&lt;&gt;"",CONCATENATE("Overall: ",CHAR(10),HLOOKUP(U$6,CHARMS!$A$6:$CQ$89,66,)),"")</f>
        <v/>
      </c>
      <c r="V75" s="111" t="str">
        <f>IF(HLOOKUP(V$6,CHARMS!$A$6:$CQ$89,66,)&lt;&gt;"",CONCATENATE("Overall: ",CHAR(10),HLOOKUP(V$6,CHARMS!$A$6:$CQ$89,66,)),"")</f>
        <v/>
      </c>
      <c r="W75" s="111" t="str">
        <f>IF(HLOOKUP(W$6,CHARMS!$A$6:$CQ$89,66,)&lt;&gt;"",CONCATENATE("Overall: ",CHAR(10),HLOOKUP(W$6,CHARMS!$A$6:$CQ$89,66,)),"")</f>
        <v/>
      </c>
      <c r="X75" s="111" t="str">
        <f>IF(HLOOKUP(X$6,CHARMS!$A$6:$CQ$89,66,)&lt;&gt;"",CONCATENATE("Overall: ",CHAR(10),HLOOKUP(X$6,CHARMS!$A$6:$CQ$89,66,)),"")</f>
        <v/>
      </c>
      <c r="Y75" s="111" t="str">
        <f>IF(HLOOKUP(Y$6,CHARMS!$A$6:$CQ$89,66,)&lt;&gt;"",CONCATENATE("Overall: ",CHAR(10),HLOOKUP(Y$6,CHARMS!$A$6:$CQ$89,66,)),"")</f>
        <v/>
      </c>
      <c r="Z75" s="111" t="str">
        <f>IF(HLOOKUP(Z$6,CHARMS!$A$6:$CQ$89,66,)&lt;&gt;"",CONCATENATE("Overall: ",CHAR(10),HLOOKUP(Z$6,CHARMS!$A$6:$CQ$89,66,)),"")</f>
        <v/>
      </c>
      <c r="AA75" s="111" t="str">
        <f>IF(HLOOKUP(AA$6,CHARMS!$A$6:$CQ$89,66,)&lt;&gt;"",CONCATENATE("Overall: ",CHAR(10),HLOOKUP(AA$6,CHARMS!$A$6:$CQ$89,66,)),"")</f>
        <v/>
      </c>
      <c r="AB75" s="111" t="str">
        <f>IF(HLOOKUP(AB$6,CHARMS!$A$6:$CQ$89,66,)&lt;&gt;"",CONCATENATE("Overall: ",CHAR(10),HLOOKUP(AB$6,CHARMS!$A$6:$CQ$89,66,)),"")</f>
        <v/>
      </c>
      <c r="AC75" s="111" t="str">
        <f>IF(HLOOKUP(AC$6,CHARMS!$A$6:$CQ$89,66,)&lt;&gt;"",CONCATENATE("Overall: ",CHAR(10),HLOOKUP(AC$6,CHARMS!$A$6:$CQ$89,66,)),"")</f>
        <v/>
      </c>
      <c r="AD75" s="111" t="str">
        <f>IF(HLOOKUP(AD$6,CHARMS!$A$6:$CQ$89,66,)&lt;&gt;"",CONCATENATE("Overall: ",CHAR(10),HLOOKUP(AD$6,CHARMS!$A$6:$CQ$89,66,)),"")</f>
        <v/>
      </c>
      <c r="AE75" s="111" t="str">
        <f>IF(HLOOKUP(AE$6,CHARMS!$A$6:$CQ$89,66,)&lt;&gt;"",CONCATENATE("Overall: ",CHAR(10),HLOOKUP(AE$6,CHARMS!$A$6:$CQ$89,66,)),"")</f>
        <v/>
      </c>
    </row>
    <row r="76" spans="1:31" s="83" customFormat="1" ht="15" customHeight="1" x14ac:dyDescent="0.25">
      <c r="A76" s="112" t="s">
        <v>362</v>
      </c>
      <c r="B76" s="113" t="str">
        <f>IF(HLOOKUP(B$6,CHARMS!$A$6:$CQ$89,51,)&lt;&gt;0,HLOOKUP(B$6,CHARMS!$A$6:$CQ$89,51,),"")</f>
        <v>No</v>
      </c>
      <c r="C76" s="113" t="str">
        <f>IF(HLOOKUP(C$6,CHARMS!$A$6:$CQ$89,51,)&lt;&gt;0,HLOOKUP(C$6,CHARMS!$A$6:$CQ$89,51,),"")</f>
        <v>No</v>
      </c>
      <c r="D76" s="113" t="str">
        <f>IF(HLOOKUP(D$6,CHARMS!$A$6:$CQ$89,51,)&lt;&gt;0,HLOOKUP(D$6,CHARMS!$A$6:$CQ$89,51,),"")</f>
        <v>No</v>
      </c>
      <c r="E76" s="113" t="str">
        <f>IF(HLOOKUP(E$6,CHARMS!$A$6:$CQ$89,51,)&lt;&gt;0,HLOOKUP(E$6,CHARMS!$A$6:$CQ$89,51,),"")</f>
        <v>No</v>
      </c>
      <c r="F76" s="113" t="str">
        <f>IF(HLOOKUP(F$6,CHARMS!$A$6:$CQ$89,51,)&lt;&gt;0,HLOOKUP(F$6,CHARMS!$A$6:$CQ$89,51,),"")</f>
        <v>No</v>
      </c>
      <c r="G76" s="113" t="str">
        <f>IF(HLOOKUP(G$6,CHARMS!$A$6:$CQ$89,51,)&lt;&gt;0,HLOOKUP(G$6,CHARMS!$A$6:$CQ$89,51,),"")</f>
        <v>No</v>
      </c>
      <c r="H76" s="113" t="str">
        <f>IF(HLOOKUP(H$6,CHARMS!$A$6:$CQ$89,51,)&lt;&gt;0,HLOOKUP(H$6,CHARMS!$A$6:$CQ$89,51,),"")</f>
        <v>No</v>
      </c>
      <c r="I76" s="113" t="str">
        <f>IF(HLOOKUP(I$6,CHARMS!$A$6:$CQ$89,51,)&lt;&gt;0,HLOOKUP(I$6,CHARMS!$A$6:$CQ$89,51,),"")</f>
        <v>No</v>
      </c>
      <c r="J76" s="113" t="str">
        <f>IF(HLOOKUP(J$6,CHARMS!$A$6:$CQ$89,51,)&lt;&gt;0,HLOOKUP(J$6,CHARMS!$A$6:$CQ$89,51,),"")</f>
        <v>No</v>
      </c>
      <c r="K76" s="113" t="str">
        <f>IF(HLOOKUP(K$6,CHARMS!$A$6:$CQ$89,51,)&lt;&gt;0,HLOOKUP(K$6,CHARMS!$A$6:$CQ$89,51,),"")</f>
        <v>No</v>
      </c>
      <c r="L76" s="113" t="str">
        <f>IF(HLOOKUP(L$6,CHARMS!$A$6:$CQ$89,51,)&lt;&gt;0,HLOOKUP(L$6,CHARMS!$A$6:$CQ$89,51,),"")</f>
        <v>No</v>
      </c>
      <c r="M76" s="113" t="str">
        <f>IF(HLOOKUP(M$6,CHARMS!$A$6:$CQ$89,51,)&lt;&gt;0,HLOOKUP(M$6,CHARMS!$A$6:$CQ$89,51,),"")</f>
        <v/>
      </c>
      <c r="N76" s="113" t="str">
        <f>IF(HLOOKUP(N$6,CHARMS!$A$6:$CQ$89,51,)&lt;&gt;0,HLOOKUP(N$6,CHARMS!$A$6:$CQ$89,51,),"")</f>
        <v/>
      </c>
      <c r="O76" s="113" t="str">
        <f>IF(HLOOKUP(O$6,CHARMS!$A$6:$CQ$89,51,)&lt;&gt;0,HLOOKUP(O$6,CHARMS!$A$6:$CQ$89,51,),"")</f>
        <v/>
      </c>
      <c r="P76" s="113" t="str">
        <f>IF(HLOOKUP(P$6,CHARMS!$A$6:$CQ$89,51,)&lt;&gt;0,HLOOKUP(P$6,CHARMS!$A$6:$CQ$89,51,),"")</f>
        <v/>
      </c>
      <c r="Q76" s="113" t="str">
        <f>IF(HLOOKUP(Q$6,CHARMS!$A$6:$CQ$89,51,)&lt;&gt;0,HLOOKUP(Q$6,CHARMS!$A$6:$CQ$89,51,),"")</f>
        <v/>
      </c>
      <c r="R76" s="113" t="str">
        <f>IF(HLOOKUP(R$6,CHARMS!$A$6:$CQ$89,51,)&lt;&gt;0,HLOOKUP(R$6,CHARMS!$A$6:$CQ$89,51,),"")</f>
        <v/>
      </c>
      <c r="S76" s="113" t="str">
        <f>IF(HLOOKUP(S$6,CHARMS!$A$6:$CQ$89,51,)&lt;&gt;0,HLOOKUP(S$6,CHARMS!$A$6:$CQ$89,51,),"")</f>
        <v/>
      </c>
      <c r="T76" s="113" t="str">
        <f>IF(HLOOKUP(T$6,CHARMS!$A$6:$CQ$89,51,)&lt;&gt;0,HLOOKUP(T$6,CHARMS!$A$6:$CQ$89,51,),"")</f>
        <v/>
      </c>
      <c r="U76" s="113" t="str">
        <f>IF(HLOOKUP(U$6,CHARMS!$A$6:$CQ$89,51,)&lt;&gt;0,HLOOKUP(U$6,CHARMS!$A$6:$CQ$89,51,),"")</f>
        <v/>
      </c>
      <c r="V76" s="113" t="str">
        <f>IF(HLOOKUP(V$6,CHARMS!$A$6:$CQ$89,51,)&lt;&gt;0,HLOOKUP(V$6,CHARMS!$A$6:$CQ$89,51,),"")</f>
        <v/>
      </c>
      <c r="W76" s="113" t="str">
        <f>IF(HLOOKUP(W$6,CHARMS!$A$6:$CQ$89,51,)&lt;&gt;0,HLOOKUP(W$6,CHARMS!$A$6:$CQ$89,51,),"")</f>
        <v/>
      </c>
      <c r="X76" s="113" t="str">
        <f>IF(HLOOKUP(X$6,CHARMS!$A$6:$CQ$89,51,)&lt;&gt;0,HLOOKUP(X$6,CHARMS!$A$6:$CQ$89,51,),"")</f>
        <v/>
      </c>
      <c r="Y76" s="113" t="str">
        <f>IF(HLOOKUP(Y$6,CHARMS!$A$6:$CQ$89,51,)&lt;&gt;0,HLOOKUP(Y$6,CHARMS!$A$6:$CQ$89,51,),"")</f>
        <v/>
      </c>
      <c r="Z76" s="113" t="str">
        <f>IF(HLOOKUP(Z$6,CHARMS!$A$6:$CQ$89,51,)&lt;&gt;0,HLOOKUP(Z$6,CHARMS!$A$6:$CQ$89,51,),"")</f>
        <v/>
      </c>
      <c r="AA76" s="113" t="str">
        <f>IF(HLOOKUP(AA$6,CHARMS!$A$6:$CQ$89,51,)&lt;&gt;0,HLOOKUP(AA$6,CHARMS!$A$6:$CQ$89,51,),"")</f>
        <v/>
      </c>
      <c r="AB76" s="113" t="str">
        <f>IF(HLOOKUP(AB$6,CHARMS!$A$6:$CQ$89,51,)&lt;&gt;0,HLOOKUP(AB$6,CHARMS!$A$6:$CQ$89,51,),"")</f>
        <v/>
      </c>
      <c r="AC76" s="113" t="str">
        <f>IF(HLOOKUP(AC$6,CHARMS!$A$6:$CQ$89,51,)&lt;&gt;0,HLOOKUP(AC$6,CHARMS!$A$6:$CQ$89,51,),"")</f>
        <v/>
      </c>
      <c r="AD76" s="113" t="str">
        <f>IF(HLOOKUP(AD$6,CHARMS!$A$6:$CQ$89,51,)&lt;&gt;0,HLOOKUP(AD$6,CHARMS!$A$6:$CQ$89,51,),"")</f>
        <v/>
      </c>
      <c r="AE76" s="113" t="str">
        <f>IF(HLOOKUP(AE$6,CHARMS!$A$6:$CQ$89,51,)&lt;&gt;0,HLOOKUP(AE$6,CHARMS!$A$6:$CQ$89,51,),"")</f>
        <v/>
      </c>
    </row>
    <row r="77" spans="1:31" s="83" customFormat="1" ht="75" customHeight="1" thickBot="1" x14ac:dyDescent="0.3">
      <c r="A77" s="121" t="s">
        <v>312</v>
      </c>
      <c r="B77" s="31" t="s">
        <v>363</v>
      </c>
      <c r="C77" s="31" t="s">
        <v>364</v>
      </c>
      <c r="D77" s="31" t="s">
        <v>365</v>
      </c>
      <c r="E77" s="31" t="s">
        <v>366</v>
      </c>
      <c r="F77" s="31" t="s">
        <v>367</v>
      </c>
      <c r="G77" s="31" t="s">
        <v>367</v>
      </c>
      <c r="H77" s="31" t="s">
        <v>368</v>
      </c>
      <c r="I77" s="31" t="s">
        <v>367</v>
      </c>
      <c r="J77" s="31" t="s">
        <v>369</v>
      </c>
      <c r="K77" s="31" t="s">
        <v>370</v>
      </c>
      <c r="L77" s="31" t="s">
        <v>370</v>
      </c>
      <c r="M77" s="31"/>
      <c r="N77" s="31"/>
      <c r="O77" s="31"/>
      <c r="P77" s="31"/>
      <c r="Q77" s="31"/>
      <c r="R77" s="31"/>
      <c r="S77" s="31"/>
      <c r="T77" s="31"/>
      <c r="U77" s="31"/>
      <c r="V77" s="31"/>
      <c r="W77" s="31"/>
      <c r="X77" s="31"/>
      <c r="Y77" s="31"/>
      <c r="Z77" s="31"/>
      <c r="AA77" s="31"/>
      <c r="AB77" s="31"/>
      <c r="AC77" s="31"/>
      <c r="AD77" s="31"/>
      <c r="AE77" s="31"/>
    </row>
    <row r="78" spans="1:31" x14ac:dyDescent="0.25">
      <c r="A78" s="77"/>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row>
    <row r="80" spans="1:31" hidden="1" x14ac:dyDescent="0.25">
      <c r="B80" s="82" t="e">
        <f>IF(B8="","NA",COUNTBLANK(B8:B12)+COUNTBLANK(B14)+COUNTBLANK(B33:B77)+COUNTBLANK(#REF!)+COUNTBLANK(#REF!)+COUNTBLANK(#REF!)+COUNTBLANK(#REF!)+COUNTBLANK(#REF!)+COUNTBLANK(#REF!)+COUNTBLANK(#REF!)+COUNTBLANK(#REF!)+COUNTBLANK(#REF!))</f>
        <v>#REF!</v>
      </c>
    </row>
  </sheetData>
  <sheetProtection password="8015" sheet="1" selectLockedCells="1"/>
  <phoneticPr fontId="5" type="noConversion"/>
  <conditionalFormatting sqref="B14:AE15">
    <cfRule type="expression" dxfId="212" priority="52">
      <formula>B14=""</formula>
    </cfRule>
  </conditionalFormatting>
  <conditionalFormatting sqref="B27:AE29">
    <cfRule type="expression" dxfId="211" priority="51">
      <formula>B27=""</formula>
    </cfRule>
  </conditionalFormatting>
  <conditionalFormatting sqref="B38:AE43">
    <cfRule type="expression" dxfId="210" priority="50">
      <formula>B38=""</formula>
    </cfRule>
  </conditionalFormatting>
  <conditionalFormatting sqref="B54:AE62">
    <cfRule type="expression" dxfId="209" priority="49">
      <formula>B54=""</formula>
    </cfRule>
  </conditionalFormatting>
  <conditionalFormatting sqref="B16:AE17">
    <cfRule type="containsText" dxfId="208" priority="36" operator="containsText" text="Unclear">
      <formula>NOT(ISERROR(SEARCH("Unclear",B16)))</formula>
    </cfRule>
    <cfRule type="containsText" dxfId="207" priority="37" operator="containsText" text="High">
      <formula>NOT(ISERROR(SEARCH("High",B16)))</formula>
    </cfRule>
    <cfRule type="containsText" dxfId="206" priority="38" operator="containsText" text="Low">
      <formula>NOT(ISERROR(SEARCH("Low",B16)))</formula>
    </cfRule>
    <cfRule type="expression" dxfId="205" priority="48">
      <formula>AND(B$14&lt;&gt;"",B$15&lt;&gt;"")</formula>
    </cfRule>
  </conditionalFormatting>
  <conditionalFormatting sqref="B30:AE31">
    <cfRule type="containsText" dxfId="204" priority="45" operator="containsText" text="Unclear">
      <formula>NOT(ISERROR(SEARCH("Unclear",B30)))</formula>
    </cfRule>
    <cfRule type="containsText" dxfId="203" priority="46" operator="containsText" text="High">
      <formula>NOT(ISERROR(SEARCH("High",B30)))</formula>
    </cfRule>
    <cfRule type="containsText" dxfId="202" priority="47" operator="containsText" text="Low">
      <formula>NOT(ISERROR(SEARCH("Low",B30)))</formula>
    </cfRule>
    <cfRule type="expression" dxfId="201" priority="57">
      <formula>AND(B$27&lt;&gt;"",B$28&lt;&gt;"",B$29&lt;&gt;"")</formula>
    </cfRule>
  </conditionalFormatting>
  <conditionalFormatting sqref="B44:AE45">
    <cfRule type="containsText" dxfId="200" priority="42" operator="containsText" text="Unclear">
      <formula>NOT(ISERROR(SEARCH("Unclear",B44)))</formula>
    </cfRule>
    <cfRule type="containsText" dxfId="199" priority="43" operator="containsText" text="High">
      <formula>NOT(ISERROR(SEARCH("High",B44)))</formula>
    </cfRule>
    <cfRule type="containsText" dxfId="198" priority="44" operator="containsText" text="Low">
      <formula>NOT(ISERROR(SEARCH("Low",B44)))</formula>
    </cfRule>
    <cfRule type="expression" dxfId="197" priority="54">
      <formula>AND(B$38&lt;&gt;"",B$39&lt;&gt;"",B$40&lt;&gt;"",B$41&lt;&gt;"",B$42&lt;&gt;"",B$43&lt;&gt;"")</formula>
    </cfRule>
  </conditionalFormatting>
  <conditionalFormatting sqref="B63:AE63">
    <cfRule type="containsText" dxfId="196" priority="39" operator="containsText" text="Unclear">
      <formula>NOT(ISERROR(SEARCH("Unclear",B63)))</formula>
    </cfRule>
    <cfRule type="containsText" dxfId="195" priority="40" operator="containsText" text="High">
      <formula>NOT(ISERROR(SEARCH("High",B63)))</formula>
    </cfRule>
    <cfRule type="containsText" dxfId="194" priority="41" operator="containsText" text="Low">
      <formula>NOT(ISERROR(SEARCH("Low",B63)))</formula>
    </cfRule>
    <cfRule type="expression" dxfId="193" priority="53">
      <formula>AND(B$54&lt;&gt;"",B$55&lt;&gt;"",B$56&lt;&gt;"",B$57&lt;&gt;"",B$58&lt;&gt;"",B$59&lt;&gt;"",B$60&lt;&gt;"",B$61&lt;&gt;"",B$62&lt;&gt;"")</formula>
    </cfRule>
  </conditionalFormatting>
  <dataValidations xWindow="83" yWindow="687" count="4">
    <dataValidation type="list" allowBlank="1" showInputMessage="1" showErrorMessage="1" sqref="B17:AE17 B31:AE31 B45:AE45" xr:uid="{9AF75F54-CEE2-494A-96FC-6F72D732276E}">
      <formula1>"Low concern,High concern,Unclear"</formula1>
    </dataValidation>
    <dataValidation type="list" allowBlank="1" showInputMessage="1" showErrorMessage="1" sqref="B63:AE63 B30:AE30 B44:AE44" xr:uid="{A30A811D-A2BA-41F4-AC76-B77C5ACDF944}">
      <formula1>"Low RoB, High RoB, Unclear"</formula1>
    </dataValidation>
    <dataValidation type="list" allowBlank="1" showInputMessage="1" showErrorMessage="1" sqref="B38:AE43 B14:AE15 B27:AE29 B54:AE62" xr:uid="{F05A8AD3-090B-4E00-88B1-BAC9D4ED220B}">
      <formula1>"Yes,Probably Yes,Probably No,No,No Information"</formula1>
    </dataValidation>
    <dataValidation type="list" errorStyle="information" allowBlank="1" showInputMessage="1" showErrorMessage="1" promptTitle="Risk of Bias assessment" prompt="Low RoB: If all answers are &quot;Y&quot; o &quot;PY&quot;. If one or more of the answers is &quot;N&quot; or &quot;PN&quot;, the judgment could still be &quot;Low RoB&quot;. Indicate the reason._x000a_High RoB: If the answer to some questions is &quot;N&quot; or &quot;PN&quot;._x000a_Unclear RoB: If the answer to some question is &quot;NI&quot;" sqref="B16:AE16" xr:uid="{3FB903A7-96F6-4F7C-8484-950C3C4A821C}">
      <formula1>"Low RoB, High RoB, Unclear"</formula1>
    </dataValidation>
  </dataValidations>
  <pageMargins left="0.7" right="0.7" top="0.75" bottom="0.75" header="0.3" footer="0.3"/>
  <pageSetup paperSize="9" orientation="portrait" r:id="rId1"/>
  <ignoredErrors>
    <ignoredError sqref="C8 C9:C12"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35" id="{F1138FBD-85CE-4C5E-8A30-4B59C35F0899}">
            <xm:f>SUMMARY!$B$7=FALSE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B6:B77</xm:sqref>
        </x14:conditionalFormatting>
        <x14:conditionalFormatting xmlns:xm="http://schemas.microsoft.com/office/excel/2006/main">
          <x14:cfRule type="expression" priority="34" id="{AB04C39C-C708-4AC8-8655-47004978A5B2}">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C6:C77</xm:sqref>
        </x14:conditionalFormatting>
        <x14:conditionalFormatting xmlns:xm="http://schemas.microsoft.com/office/excel/2006/main">
          <x14:cfRule type="expression" priority="33" id="{B332127B-B8E8-495D-A490-89CAD6041F84}">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D6:D77</xm:sqref>
        </x14:conditionalFormatting>
        <x14:conditionalFormatting xmlns:xm="http://schemas.microsoft.com/office/excel/2006/main">
          <x14:cfRule type="expression" priority="32" id="{ED6D4044-D4DC-45E9-AECE-F8CBBF2FBFCD}">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E6:E77</xm:sqref>
        </x14:conditionalFormatting>
        <x14:conditionalFormatting xmlns:xm="http://schemas.microsoft.com/office/excel/2006/main">
          <x14:cfRule type="expression" priority="31" id="{46BD0346-9EFF-47D6-9312-5B1CA395BD7B}">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F6:F77</xm:sqref>
        </x14:conditionalFormatting>
        <x14:conditionalFormatting xmlns:xm="http://schemas.microsoft.com/office/excel/2006/main">
          <x14:cfRule type="expression" priority="30" id="{7CC7047C-8396-4ECB-A1EF-17CFF80B89A6}">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G6:G77</xm:sqref>
        </x14:conditionalFormatting>
        <x14:conditionalFormatting xmlns:xm="http://schemas.microsoft.com/office/excel/2006/main">
          <x14:cfRule type="expression" priority="29" id="{B5192566-C33B-43E6-9E90-D01765CB18E9}">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H6:H77</xm:sqref>
        </x14:conditionalFormatting>
        <x14:conditionalFormatting xmlns:xm="http://schemas.microsoft.com/office/excel/2006/main">
          <x14:cfRule type="expression" priority="28" id="{66AD938D-7BA9-4856-BC96-8E53A4CE8461}">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I6:I77</xm:sqref>
        </x14:conditionalFormatting>
        <x14:conditionalFormatting xmlns:xm="http://schemas.microsoft.com/office/excel/2006/main">
          <x14:cfRule type="expression" priority="27" id="{F315673B-8560-472E-BD73-CCCE6D9738BC}">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J6:J77</xm:sqref>
        </x14:conditionalFormatting>
        <x14:conditionalFormatting xmlns:xm="http://schemas.microsoft.com/office/excel/2006/main">
          <x14:cfRule type="expression" priority="26" id="{930336B7-0B21-4E78-A19C-44B14648EF8E}">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K6:K77</xm:sqref>
        </x14:conditionalFormatting>
        <x14:conditionalFormatting xmlns:xm="http://schemas.microsoft.com/office/excel/2006/main">
          <x14:cfRule type="expression" priority="25" id="{C88BB34A-9BF8-4717-933D-93D6F82311F5}">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L6:L77</xm:sqref>
        </x14:conditionalFormatting>
        <x14:conditionalFormatting xmlns:xm="http://schemas.microsoft.com/office/excel/2006/main">
          <x14:cfRule type="expression" priority="24" id="{9EDEDB92-ECB7-49CC-BE43-11D21B84A62B}">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M6:M77</xm:sqref>
        </x14:conditionalFormatting>
        <x14:conditionalFormatting xmlns:xm="http://schemas.microsoft.com/office/excel/2006/main">
          <x14:cfRule type="expression" priority="23" id="{20CE8D50-A672-45CC-ACC0-B1557518DD9A}">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N6:N77</xm:sqref>
        </x14:conditionalFormatting>
        <x14:conditionalFormatting xmlns:xm="http://schemas.microsoft.com/office/excel/2006/main">
          <x14:cfRule type="expression" priority="22" id="{AC1AD62A-C33C-46EE-99BE-257EBB411927}">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O6:O77</xm:sqref>
        </x14:conditionalFormatting>
        <x14:conditionalFormatting xmlns:xm="http://schemas.microsoft.com/office/excel/2006/main">
          <x14:cfRule type="expression" priority="21" id="{F325B8D3-0CDF-4EB7-8AC0-7F770E53208B}">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P6:P77</xm:sqref>
        </x14:conditionalFormatting>
        <x14:conditionalFormatting xmlns:xm="http://schemas.microsoft.com/office/excel/2006/main">
          <x14:cfRule type="expression" priority="17" id="{BEEF195B-5621-4939-A838-E3AEF104470D}">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Q6:Q77</xm:sqref>
        </x14:conditionalFormatting>
        <x14:conditionalFormatting xmlns:xm="http://schemas.microsoft.com/office/excel/2006/main">
          <x14:cfRule type="expression" priority="16" id="{EB7B7B71-27F1-4FDB-9906-24807A037E00}">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R6:R77</xm:sqref>
        </x14:conditionalFormatting>
        <x14:conditionalFormatting xmlns:xm="http://schemas.microsoft.com/office/excel/2006/main">
          <x14:cfRule type="expression" priority="15" id="{C1727DE8-61BF-4652-A3C3-CB2C40FA40A2}">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S6:S77</xm:sqref>
        </x14:conditionalFormatting>
        <x14:conditionalFormatting xmlns:xm="http://schemas.microsoft.com/office/excel/2006/main">
          <x14:cfRule type="expression" priority="13" id="{EC43D5DD-C03F-4307-ACD1-BD3F527A2ED1}">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T6:T77</xm:sqref>
        </x14:conditionalFormatting>
        <x14:conditionalFormatting xmlns:xm="http://schemas.microsoft.com/office/excel/2006/main">
          <x14:cfRule type="expression" priority="12" id="{60546813-FA24-44FF-84A9-6AF712977F15}">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U6:U77</xm:sqref>
        </x14:conditionalFormatting>
        <x14:conditionalFormatting xmlns:xm="http://schemas.microsoft.com/office/excel/2006/main">
          <x14:cfRule type="expression" priority="11" id="{EE25FA6A-1816-48BC-B8A3-2581AC407719}">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V6:V77</xm:sqref>
        </x14:conditionalFormatting>
        <x14:conditionalFormatting xmlns:xm="http://schemas.microsoft.com/office/excel/2006/main">
          <x14:cfRule type="expression" priority="10" id="{D1737F1C-B55C-4A1E-971E-46E1B72249D3}">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W6:W77</xm:sqref>
        </x14:conditionalFormatting>
        <x14:conditionalFormatting xmlns:xm="http://schemas.microsoft.com/office/excel/2006/main">
          <x14:cfRule type="expression" priority="9" id="{58BEE699-8D29-446D-88E7-52E6186B0B3C}">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X6:X77</xm:sqref>
        </x14:conditionalFormatting>
        <x14:conditionalFormatting xmlns:xm="http://schemas.microsoft.com/office/excel/2006/main">
          <x14:cfRule type="expression" priority="8" id="{B6780FD1-C30E-49ED-9673-28933F3C11C0}">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Y6:Y77</xm:sqref>
        </x14:conditionalFormatting>
        <x14:conditionalFormatting xmlns:xm="http://schemas.microsoft.com/office/excel/2006/main">
          <x14:cfRule type="expression" priority="7" id="{0B371088-851F-4CBA-8C7A-FF52462482B0}">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Z6:Z77</xm:sqref>
        </x14:conditionalFormatting>
        <x14:conditionalFormatting xmlns:xm="http://schemas.microsoft.com/office/excel/2006/main">
          <x14:cfRule type="expression" priority="6" id="{39CCD632-87D5-4D62-A5F3-CEA4217A0112}">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AA6:AA77</xm:sqref>
        </x14:conditionalFormatting>
        <x14:conditionalFormatting xmlns:xm="http://schemas.microsoft.com/office/excel/2006/main">
          <x14:cfRule type="expression" priority="5" id="{BC50C2C5-58BC-44CA-AB89-C669B2DFB7CF}">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AB6:AB77</xm:sqref>
        </x14:conditionalFormatting>
        <x14:conditionalFormatting xmlns:xm="http://schemas.microsoft.com/office/excel/2006/main">
          <x14:cfRule type="expression" priority="4" id="{6C041A17-4CC4-468F-961D-8B38E4CFD4CC}">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AC6:AC77</xm:sqref>
        </x14:conditionalFormatting>
        <x14:conditionalFormatting xmlns:xm="http://schemas.microsoft.com/office/excel/2006/main">
          <x14:cfRule type="expression" priority="3" id="{92DAA1EA-171C-4BEC-A7D8-7F9929DD75F4}">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AD6:AD77</xm:sqref>
        </x14:conditionalFormatting>
        <x14:conditionalFormatting xmlns:xm="http://schemas.microsoft.com/office/excel/2006/main">
          <x14:cfRule type="expression" priority="2" id="{CE4926C0-F0E5-42E1-9E10-626DFA5F795B}">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AE6:AE77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tabColor theme="9" tint="-0.499984740745262"/>
  </sheetPr>
  <dimension ref="A1:T35"/>
  <sheetViews>
    <sheetView topLeftCell="B1" workbookViewId="0">
      <selection activeCell="D21" sqref="D21"/>
    </sheetView>
  </sheetViews>
  <sheetFormatPr baseColWidth="10" defaultColWidth="11.42578125" defaultRowHeight="15" x14ac:dyDescent="0.25"/>
  <cols>
    <col min="1" max="1" width="11.42578125" style="122" hidden="1" customWidth="1"/>
    <col min="2" max="6" width="24.28515625" style="122" customWidth="1"/>
    <col min="7" max="11" width="15.7109375" style="122" customWidth="1"/>
    <col min="12" max="16384" width="11.42578125" style="122"/>
  </cols>
  <sheetData>
    <row r="1" spans="1:20" x14ac:dyDescent="0.25">
      <c r="K1" s="123"/>
    </row>
    <row r="2" spans="1:20" x14ac:dyDescent="0.25">
      <c r="K2" s="123"/>
    </row>
    <row r="3" spans="1:20" s="124" customFormat="1" ht="15.75" thickBot="1" x14ac:dyDescent="0.3">
      <c r="B3" s="358" t="s">
        <v>371</v>
      </c>
      <c r="C3" s="359"/>
      <c r="D3" s="359"/>
      <c r="E3" s="359"/>
      <c r="F3" s="359"/>
      <c r="G3" s="359"/>
      <c r="H3" s="359"/>
      <c r="I3" s="359"/>
      <c r="J3" s="359"/>
      <c r="K3" s="360"/>
      <c r="L3" s="126"/>
      <c r="M3" s="126"/>
      <c r="N3" s="126"/>
      <c r="O3" s="126"/>
      <c r="P3" s="126"/>
      <c r="Q3" s="126"/>
      <c r="R3" s="126"/>
      <c r="S3" s="126"/>
      <c r="T3" s="126"/>
    </row>
    <row r="4" spans="1:20" s="127" customFormat="1" ht="11.25" customHeight="1" x14ac:dyDescent="0.2">
      <c r="B4" s="362" t="s">
        <v>372</v>
      </c>
      <c r="C4" s="362" t="s">
        <v>373</v>
      </c>
      <c r="D4" s="362" t="s">
        <v>374</v>
      </c>
      <c r="E4" s="362" t="s">
        <v>309</v>
      </c>
      <c r="F4" s="362" t="s">
        <v>375</v>
      </c>
      <c r="G4" s="361" t="s">
        <v>376</v>
      </c>
      <c r="H4" s="361"/>
      <c r="I4" s="361"/>
      <c r="J4" s="361"/>
      <c r="K4" s="361"/>
      <c r="L4" s="128"/>
      <c r="M4" s="126"/>
      <c r="N4" s="126"/>
      <c r="O4" s="126"/>
      <c r="P4" s="126"/>
      <c r="Q4" s="126"/>
      <c r="R4" s="126"/>
      <c r="S4" s="126"/>
      <c r="T4" s="126"/>
    </row>
    <row r="5" spans="1:20" s="127" customFormat="1" ht="26.25" customHeight="1" x14ac:dyDescent="0.2">
      <c r="B5" s="363"/>
      <c r="C5" s="364"/>
      <c r="D5" s="363"/>
      <c r="E5" s="363"/>
      <c r="F5" s="363"/>
      <c r="G5" s="168" t="str">
        <f>IF(CHARMS!E24="","",CHARMS!E24)</f>
        <v>Age of participants</v>
      </c>
      <c r="H5" s="168" t="str">
        <f>IF(CHARMS!E25="","",CHARMS!E25)</f>
        <v>Native valve endocarditis</v>
      </c>
      <c r="I5" s="168" t="str">
        <f>IF(CHARMS!E26="","",CHARMS!E26)</f>
        <v>Valve affected</v>
      </c>
      <c r="J5" s="168" t="str">
        <f>IF(CHARMS!E27="","",CHARMS!E27)</f>
        <v/>
      </c>
      <c r="K5" s="168" t="str">
        <f>IF(CHARMS!E28="","",CHARMS!E28)</f>
        <v/>
      </c>
      <c r="L5" s="128"/>
      <c r="M5" s="126"/>
      <c r="N5" s="126"/>
      <c r="O5" s="126"/>
      <c r="P5" s="126"/>
      <c r="Q5" s="126"/>
      <c r="R5" s="126"/>
      <c r="S5" s="126"/>
      <c r="T5" s="126"/>
    </row>
    <row r="6" spans="1:20" s="129" customFormat="1" ht="22.5" customHeight="1" x14ac:dyDescent="0.25">
      <c r="A6" s="129" t="str">
        <f>CHARMS!F$6</f>
        <v>Gaca, 2011</v>
      </c>
      <c r="B6" s="207" t="str">
        <f>HLOOKUP($A6,CHARMS!$A$6:$CQ$89,1,)</f>
        <v>Gaca, 2011</v>
      </c>
      <c r="C6" s="169" t="str">
        <f>HLOOKUP($A6,CHARMS!$A$6:$CQ$89,9,)</f>
        <v>Existing registry</v>
      </c>
      <c r="D6" s="169" t="str">
        <f>HLOOKUP($A6,CHARMS!$A$6:$CQ$89,12,)</f>
        <v>2002 - 2008</v>
      </c>
      <c r="E6" s="170" t="str">
        <f>HLOOKUP($A6,CHARMS!$A$6:$CQ$89,13,)</f>
        <v>Cardiac surgery centers</v>
      </c>
      <c r="F6" s="169" t="str">
        <f>HLOOKUP($A6,CHARMS!$A$6:$CQ$89,14,)</f>
        <v>North America</v>
      </c>
      <c r="G6" s="171" t="str">
        <f>HLOOKUP($A6,CHARMS!$A$6:$CQ$89,19,)</f>
        <v>55 (46;66)</v>
      </c>
      <c r="H6" s="171" t="str">
        <f>HLOOKUP($A6,CHARMS!$A$6:$CQ$89,20,)</f>
        <v>No information</v>
      </c>
      <c r="I6" s="171" t="str">
        <f>HLOOKUP($A6,CHARMS!$A$6:$CQ$89,21,)</f>
        <v>All</v>
      </c>
      <c r="J6" s="171">
        <f>HLOOKUP($A6,CHARMS!$A$6:$CQ$89,22,)</f>
        <v>0</v>
      </c>
      <c r="K6" s="169">
        <f>HLOOKUP($A6,CHARMS!$A$6:$CQ$89,23,)</f>
        <v>0</v>
      </c>
      <c r="L6" s="130"/>
      <c r="M6" s="130"/>
      <c r="N6" s="130"/>
      <c r="O6" s="130"/>
      <c r="P6" s="130"/>
      <c r="Q6" s="130"/>
      <c r="R6" s="130"/>
      <c r="S6" s="130"/>
      <c r="T6" s="130"/>
    </row>
    <row r="7" spans="1:20" s="129" customFormat="1" ht="22.5" customHeight="1" x14ac:dyDescent="0.25">
      <c r="A7" s="129" t="str">
        <f>CHARMS!I$6</f>
        <v>De Feo, 2012</v>
      </c>
      <c r="B7" s="207" t="str">
        <f>HLOOKUP($A7,CHARMS!$A$6:$CQ$89,1,)</f>
        <v>De Feo, 2012</v>
      </c>
      <c r="C7" s="169" t="str">
        <f>HLOOKUP($A7,CHARMS!$A$6:$CQ$89,9,)</f>
        <v>Retrospective cohort</v>
      </c>
      <c r="D7" s="169" t="str">
        <f>HLOOKUP($A7,CHARMS!$A$6:$CQ$89,12,)</f>
        <v>1980 - 2009</v>
      </c>
      <c r="E7" s="169" t="str">
        <f>HLOOKUP($A7,CHARMS!$A$6:$CQ$89,13,)</f>
        <v>Cardiac surgery center</v>
      </c>
      <c r="F7" s="169" t="str">
        <f>HLOOKUP($A7,CHARMS!$A$6:$CQ$89,14,)</f>
        <v>Italy</v>
      </c>
      <c r="G7" s="169" t="str">
        <f>HLOOKUP($A7,CHARMS!$A$6:$CQ$89,19,)</f>
        <v>49 (16)</v>
      </c>
      <c r="H7" s="169" t="str">
        <f>HLOOKUP($A7,CHARMS!$A$6:$CQ$89,20,)</f>
        <v>440 (100)</v>
      </c>
      <c r="I7" s="169" t="str">
        <f>HLOOKUP($A7,CHARMS!$A$6:$CQ$89,21,)</f>
        <v>All</v>
      </c>
      <c r="J7" s="169">
        <f>HLOOKUP($A7,CHARMS!$A$6:$CQ$89,22,)</f>
        <v>0</v>
      </c>
      <c r="K7" s="169">
        <f>HLOOKUP($A7,CHARMS!$A$6:$CQ$89,23,)</f>
        <v>0</v>
      </c>
      <c r="L7" s="130"/>
      <c r="M7" s="130"/>
      <c r="N7" s="130"/>
      <c r="O7" s="130"/>
      <c r="P7" s="130"/>
      <c r="Q7" s="130"/>
      <c r="R7" s="130"/>
      <c r="S7" s="130"/>
      <c r="T7" s="130"/>
    </row>
    <row r="8" spans="1:20" s="129" customFormat="1" ht="22.5" customHeight="1" x14ac:dyDescent="0.25">
      <c r="A8" s="129" t="str">
        <f>CHARMS!L$6</f>
        <v>Martínez-Sellés, 2014</v>
      </c>
      <c r="B8" s="207" t="str">
        <f>HLOOKUP($A8,CHARMS!$A$6:$CQ$89,1,)</f>
        <v>Martínez-Sellés, 2014</v>
      </c>
      <c r="C8" s="169" t="str">
        <f>HLOOKUP($A8,CHARMS!$A$6:$CQ$89,9,)</f>
        <v>Existing registry</v>
      </c>
      <c r="D8" s="169" t="str">
        <f>HLOOKUP($A8,CHARMS!$A$6:$CQ$89,12,)</f>
        <v>2008 - 2010</v>
      </c>
      <c r="E8" s="169" t="str">
        <f>HLOOKUP($A8,CHARMS!$A$6:$CQ$89,13,)</f>
        <v>Cardiac surgery centers</v>
      </c>
      <c r="F8" s="169" t="str">
        <f>HLOOKUP($A8,CHARMS!$A$6:$CQ$89,14,)</f>
        <v>Spain</v>
      </c>
      <c r="G8" s="169" t="str">
        <f>HLOOKUP($A8,CHARMS!$A$6:$CQ$89,19,)</f>
        <v>61.4 (15.5)</v>
      </c>
      <c r="H8" s="169" t="str">
        <f>HLOOKUP($A8,CHARMS!$A$6:$CQ$89,20,)</f>
        <v>267 (61.1)</v>
      </c>
      <c r="I8" s="169" t="str">
        <f>HLOOKUP($A8,CHARMS!$A$6:$CQ$89,21,)</f>
        <v>All</v>
      </c>
      <c r="J8" s="169">
        <f>HLOOKUP($A8,CHARMS!$A$6:$CQ$89,22,)</f>
        <v>0</v>
      </c>
      <c r="K8" s="169">
        <f>HLOOKUP($A8,CHARMS!$A$6:$CQ$89,23,)</f>
        <v>0</v>
      </c>
      <c r="L8" s="130"/>
      <c r="M8" s="130"/>
      <c r="N8" s="130"/>
      <c r="O8" s="130"/>
      <c r="P8" s="130"/>
      <c r="Q8" s="130"/>
      <c r="R8" s="130"/>
      <c r="S8" s="130"/>
      <c r="T8" s="130"/>
    </row>
    <row r="9" spans="1:20" s="129" customFormat="1" ht="22.5" customHeight="1" x14ac:dyDescent="0.25">
      <c r="A9" s="129" t="str">
        <f>CHARMS!O$6</f>
        <v>Madeira, 2016</v>
      </c>
      <c r="B9" s="207" t="str">
        <f>HLOOKUP($A9,CHARMS!$A$6:$CQ$89,1,)</f>
        <v>Madeira, 2016</v>
      </c>
      <c r="C9" s="169" t="str">
        <f>HLOOKUP($A9,CHARMS!$A$6:$CQ$89,9,)</f>
        <v>Retrospective cohort</v>
      </c>
      <c r="D9" s="169" t="str">
        <f>HLOOKUP($A9,CHARMS!$A$6:$CQ$89,12,)</f>
        <v>2007 - 2014</v>
      </c>
      <c r="E9" s="169" t="str">
        <f>HLOOKUP($A9,CHARMS!$A$6:$CQ$89,13,)</f>
        <v>Cardiac surgery center</v>
      </c>
      <c r="F9" s="169" t="str">
        <f>HLOOKUP($A9,CHARMS!$A$6:$CQ$89,14,)</f>
        <v>Portugal</v>
      </c>
      <c r="G9" s="169" t="str">
        <f>HLOOKUP($A9,CHARMS!$A$6:$CQ$89,19,)</f>
        <v>60 (47;70)</v>
      </c>
      <c r="H9" s="169" t="str">
        <f>HLOOKUP($A9,CHARMS!$A$6:$CQ$89,20,)</f>
        <v>94 (73.4)</v>
      </c>
      <c r="I9" s="169" t="str">
        <f>HLOOKUP($A9,CHARMS!$A$6:$CQ$89,21,)</f>
        <v>All</v>
      </c>
      <c r="J9" s="169">
        <f>HLOOKUP($A9,CHARMS!$A$6:$CQ$89,22,)</f>
        <v>0</v>
      </c>
      <c r="K9" s="169">
        <f>HLOOKUP($A9,CHARMS!$A$6:$CQ$89,23,)</f>
        <v>0</v>
      </c>
      <c r="L9" s="130"/>
      <c r="M9" s="130"/>
      <c r="N9" s="130"/>
      <c r="O9" s="130"/>
      <c r="P9" s="130"/>
      <c r="Q9" s="130"/>
      <c r="R9" s="130"/>
      <c r="S9" s="130"/>
      <c r="T9" s="130"/>
    </row>
    <row r="10" spans="1:20" s="129" customFormat="1" ht="22.5" customHeight="1" x14ac:dyDescent="0.2">
      <c r="A10" s="127" t="str">
        <f>CHARMS!R$6</f>
        <v>Gatti (a), 2017</v>
      </c>
      <c r="B10" s="207" t="str">
        <f>HLOOKUP($A10,CHARMS!$A$6:$CQ$89,1,)</f>
        <v>Gatti (a), 2017</v>
      </c>
      <c r="C10" s="169" t="str">
        <f>HLOOKUP($A10,CHARMS!$A$6:$CQ$89,9,)</f>
        <v>Other (specify)</v>
      </c>
      <c r="D10" s="169" t="str">
        <f>HLOOKUP($A10,CHARMS!$A$6:$CQ$89,12,)</f>
        <v>2000 - 2015 (Italy) 2008 (France)</v>
      </c>
      <c r="E10" s="169" t="str">
        <f>HLOOKUP($A10,CHARMS!$A$6:$CQ$89,13,)</f>
        <v>Cardiac surgery centers</v>
      </c>
      <c r="F10" s="169" t="str">
        <f>HLOOKUP($A10,CHARMS!$A$6:$CQ$89,14,)</f>
        <v>Italy and France</v>
      </c>
      <c r="G10" s="169" t="str">
        <f>HLOOKUP($A10,CHARMS!$A$6:$CQ$89,19,)</f>
        <v>59.1 (15.4)</v>
      </c>
      <c r="H10" s="169" t="str">
        <f>HLOOKUP($A10,CHARMS!$A$6:$CQ$89,20,)</f>
        <v>285 (78.9)</v>
      </c>
      <c r="I10" s="169" t="str">
        <f>HLOOKUP($A10,CHARMS!$A$6:$CQ$89,21,)</f>
        <v>All</v>
      </c>
      <c r="J10" s="169">
        <f>HLOOKUP($A10,CHARMS!$A$6:$CQ$89,22,)</f>
        <v>0</v>
      </c>
      <c r="K10" s="169">
        <f>HLOOKUP($A10,CHARMS!$A$6:$CQ$89,23,)</f>
        <v>0</v>
      </c>
      <c r="L10" s="130"/>
      <c r="M10" s="130"/>
      <c r="N10" s="130"/>
      <c r="O10" s="130"/>
      <c r="P10" s="130"/>
      <c r="Q10" s="130"/>
      <c r="R10" s="130"/>
      <c r="S10" s="130"/>
      <c r="T10" s="130"/>
    </row>
    <row r="11" spans="1:20" s="129" customFormat="1" ht="22.5" customHeight="1" x14ac:dyDescent="0.2">
      <c r="A11" s="127" t="str">
        <f>CHARMS!U$6</f>
        <v>Gatti (b), 2017</v>
      </c>
      <c r="B11" s="207" t="str">
        <f>HLOOKUP($A11,CHARMS!$A$6:$CQ$89,1,)</f>
        <v>Gatti (b), 2017</v>
      </c>
      <c r="C11" s="169" t="str">
        <f>HLOOKUP($A11,CHARMS!$A$6:$CQ$89,9,)</f>
        <v>Other (specify)</v>
      </c>
      <c r="D11" s="169" t="str">
        <f>HLOOKUP($A11,CHARMS!$A$6:$CQ$89,12,)</f>
        <v>2000 - 2015 (Italy) 2008 (France)</v>
      </c>
      <c r="E11" s="169" t="str">
        <f>HLOOKUP($A11,CHARMS!$A$6:$CQ$89,13,)</f>
        <v>Cardiac surgery centers</v>
      </c>
      <c r="F11" s="169" t="str">
        <f>HLOOKUP($A11,CHARMS!$A$6:$CQ$89,14,)</f>
        <v>Italy and France</v>
      </c>
      <c r="G11" s="169" t="str">
        <f>HLOOKUP($A11,CHARMS!$A$6:$CQ$89,19,)</f>
        <v>59.1 (15.4)</v>
      </c>
      <c r="H11" s="169" t="str">
        <f>HLOOKUP($A11,CHARMS!$A$6:$CQ$89,20,)</f>
        <v>285 (78.9)</v>
      </c>
      <c r="I11" s="169" t="str">
        <f>HLOOKUP($A11,CHARMS!$A$6:$CQ$89,21,)</f>
        <v>All</v>
      </c>
      <c r="J11" s="169">
        <f>HLOOKUP($A11,CHARMS!$A$6:$CQ$89,22,)</f>
        <v>0</v>
      </c>
      <c r="K11" s="169">
        <f>HLOOKUP($A11,CHARMS!$A$6:$CQ$89,23,)</f>
        <v>0</v>
      </c>
      <c r="L11" s="130"/>
      <c r="M11" s="130"/>
      <c r="N11" s="130"/>
      <c r="O11" s="130"/>
      <c r="P11" s="130"/>
      <c r="Q11" s="130"/>
      <c r="R11" s="130"/>
      <c r="S11" s="130"/>
      <c r="T11" s="130"/>
    </row>
    <row r="12" spans="1:20" s="129" customFormat="1" ht="22.5" customHeight="1" x14ac:dyDescent="0.2">
      <c r="A12" s="127" t="str">
        <f>CHARMS!X$6</f>
        <v>Di Mauro, 2017</v>
      </c>
      <c r="B12" s="207" t="str">
        <f>HLOOKUP($A12,CHARMS!$A$6:$CQ$89,1,)</f>
        <v>Di Mauro, 2017</v>
      </c>
      <c r="C12" s="169" t="str">
        <f>HLOOKUP($A12,CHARMS!$A$6:$CQ$89,9,)</f>
        <v>Retrospective cohort</v>
      </c>
      <c r="D12" s="169" t="str">
        <f>HLOOKUP($A12,CHARMS!$A$6:$CQ$89,12,)</f>
        <v>2000 - 2015</v>
      </c>
      <c r="E12" s="169" t="str">
        <f>HLOOKUP($A12,CHARMS!$A$6:$CQ$89,13,)</f>
        <v>Cardiac surgery centers</v>
      </c>
      <c r="F12" s="169" t="str">
        <f>HLOOKUP($A12,CHARMS!$A$6:$CQ$89,14,)</f>
        <v>Italy</v>
      </c>
      <c r="G12" s="169" t="str">
        <f>HLOOKUP($A12,CHARMS!$A$6:$CQ$89,19,)</f>
        <v>59.6 (15.1)</v>
      </c>
      <c r="H12" s="169" t="str">
        <f>HLOOKUP($A12,CHARMS!$A$6:$CQ$89,20,)</f>
        <v>2.221 (82)</v>
      </c>
      <c r="I12" s="169" t="str">
        <f>HLOOKUP($A12,CHARMS!$A$6:$CQ$89,21,)</f>
        <v>All</v>
      </c>
      <c r="J12" s="169">
        <f>HLOOKUP($A12,CHARMS!$A$6:$CQ$89,22,)</f>
        <v>0</v>
      </c>
      <c r="K12" s="169">
        <f>HLOOKUP($A12,CHARMS!$A$6:$CQ$89,23,)</f>
        <v>0</v>
      </c>
      <c r="L12" s="130"/>
      <c r="M12" s="130"/>
      <c r="N12" s="130"/>
      <c r="O12" s="130"/>
      <c r="P12" s="130"/>
      <c r="Q12" s="130"/>
      <c r="R12" s="130"/>
      <c r="S12" s="130"/>
      <c r="T12" s="130"/>
    </row>
    <row r="13" spans="1:20" s="129" customFormat="1" ht="22.5" customHeight="1" x14ac:dyDescent="0.2">
      <c r="A13" s="127" t="str">
        <f>CHARMS!AA$6</f>
        <v>Gatti (c), 2017</v>
      </c>
      <c r="B13" s="207" t="str">
        <f>HLOOKUP($A13,CHARMS!$A$6:$CQ$89,1,)</f>
        <v>Gatti (c), 2017</v>
      </c>
      <c r="C13" s="169" t="str">
        <f>HLOOKUP($A13,CHARMS!$A$6:$CQ$89,9,)</f>
        <v>Retrospective cohort</v>
      </c>
      <c r="D13" s="169" t="str">
        <f>HLOOKUP($A13,CHARMS!$A$6:$CQ$89,12,)</f>
        <v>1999 - 2015</v>
      </c>
      <c r="E13" s="169" t="str">
        <f>HLOOKUP($A13,CHARMS!$A$6:$CQ$89,13,)</f>
        <v>Cardiac surgery center</v>
      </c>
      <c r="F13" s="169" t="str">
        <f>HLOOKUP($A13,CHARMS!$A$6:$CQ$89,14,)</f>
        <v>Italy</v>
      </c>
      <c r="G13" s="169" t="str">
        <f>HLOOKUP($A13,CHARMS!$A$6:$CQ$89,19,)</f>
        <v>60.6 (8.5)</v>
      </c>
      <c r="H13" s="169" t="str">
        <f>HLOOKUP($A13,CHARMS!$A$6:$CQ$89,20,)</f>
        <v>103 (74.6)</v>
      </c>
      <c r="I13" s="169" t="str">
        <f>HLOOKUP($A13,CHARMS!$A$6:$CQ$89,21,)</f>
        <v>All</v>
      </c>
      <c r="J13" s="169">
        <f>HLOOKUP($A13,CHARMS!$A$6:$CQ$89,22,)</f>
        <v>0</v>
      </c>
      <c r="K13" s="169">
        <f>HLOOKUP($A13,CHARMS!$A$6:$CQ$89,23,)</f>
        <v>0</v>
      </c>
      <c r="L13" s="130"/>
      <c r="M13" s="130"/>
      <c r="N13" s="130"/>
      <c r="O13" s="130"/>
      <c r="P13" s="130"/>
      <c r="Q13" s="130"/>
      <c r="R13" s="130"/>
      <c r="S13" s="130"/>
      <c r="T13" s="130"/>
    </row>
    <row r="14" spans="1:20" s="129" customFormat="1" ht="22.5" customHeight="1" x14ac:dyDescent="0.2">
      <c r="A14" s="127" t="str">
        <f>CHARMS!AD$6</f>
        <v>Olmos, 2017</v>
      </c>
      <c r="B14" s="207" t="str">
        <f>HLOOKUP($A14,CHARMS!$A$6:$CQ$89,1,)</f>
        <v>Olmos, 2017</v>
      </c>
      <c r="C14" s="169" t="str">
        <f>HLOOKUP($A14,CHARMS!$A$6:$CQ$89,9,)</f>
        <v>Retrospective cohort</v>
      </c>
      <c r="D14" s="169" t="str">
        <f>HLOOKUP($A14,CHARMS!$A$6:$CQ$89,12,)</f>
        <v>1996 - 2014</v>
      </c>
      <c r="E14" s="169" t="str">
        <f>HLOOKUP($A14,CHARMS!$A$6:$CQ$89,13,)</f>
        <v>Cardiac surgery centers</v>
      </c>
      <c r="F14" s="169" t="str">
        <f>HLOOKUP($A14,CHARMS!$A$6:$CQ$89,14,)</f>
        <v>Spain</v>
      </c>
      <c r="G14" s="169" t="str">
        <f>HLOOKUP($A14,CHARMS!$A$6:$CQ$89,19,)</f>
        <v>62 (14)</v>
      </c>
      <c r="H14" s="169" t="str">
        <f>HLOOKUP($A14,CHARMS!$A$6:$CQ$89,20,)</f>
        <v>259 (61.1)</v>
      </c>
      <c r="I14" s="169" t="str">
        <f>HLOOKUP($A14,CHARMS!$A$6:$CQ$89,21,)</f>
        <v>Aortic / Mitral</v>
      </c>
      <c r="J14" s="169">
        <f>HLOOKUP($A14,CHARMS!$A$6:$CQ$89,22,)</f>
        <v>0</v>
      </c>
      <c r="K14" s="169">
        <f>HLOOKUP($A14,CHARMS!$A$6:$CQ$89,23,)</f>
        <v>0</v>
      </c>
      <c r="L14" s="130"/>
      <c r="M14" s="130"/>
      <c r="N14" s="130"/>
      <c r="O14" s="130"/>
      <c r="P14" s="130"/>
      <c r="Q14" s="130"/>
      <c r="R14" s="130"/>
      <c r="S14" s="130"/>
      <c r="T14" s="130"/>
    </row>
    <row r="15" spans="1:20" s="129" customFormat="1" ht="22.5" customHeight="1" x14ac:dyDescent="0.2">
      <c r="A15" s="127" t="str">
        <f>CHARMS!AG$6</f>
        <v>Fernández-Hidalgo (a), 2018</v>
      </c>
      <c r="B15" s="207" t="str">
        <f>HLOOKUP($A15,CHARMS!$A$6:$CQ$89,1,)</f>
        <v>Fernández-Hidalgo (a), 2018</v>
      </c>
      <c r="C15" s="169" t="str">
        <f>HLOOKUP($A15,CHARMS!$A$6:$CQ$89,9,)</f>
        <v>Retrospective cohort</v>
      </c>
      <c r="D15" s="169" t="str">
        <f>HLOOKUP($A15,CHARMS!$A$6:$CQ$89,12,)</f>
        <v>2000 - 2011</v>
      </c>
      <c r="E15" s="169" t="str">
        <f>HLOOKUP($A15,CHARMS!$A$6:$CQ$89,13,)</f>
        <v>Cardiac surgery centers</v>
      </c>
      <c r="F15" s="169" t="str">
        <f>HLOOKUP($A15,CHARMS!$A$6:$CQ$89,14,)</f>
        <v>Spain</v>
      </c>
      <c r="G15" s="169" t="str">
        <f>HLOOKUP($A15,CHARMS!$A$6:$CQ$89,19,)</f>
        <v>58 (15.1)</v>
      </c>
      <c r="H15" s="169" t="str">
        <f>HLOOKUP($A15,CHARMS!$A$6:$CQ$89,20,)</f>
        <v>No information</v>
      </c>
      <c r="I15" s="169" t="str">
        <f>HLOOKUP($A15,CHARMS!$A$6:$CQ$89,21,)</f>
        <v>All</v>
      </c>
      <c r="J15" s="169">
        <f>HLOOKUP($A15,CHARMS!$A$6:$CQ$89,22,)</f>
        <v>0</v>
      </c>
      <c r="K15" s="169">
        <f>HLOOKUP($A15,CHARMS!$A$6:$CQ$89,23,)</f>
        <v>0</v>
      </c>
      <c r="L15" s="130"/>
      <c r="M15" s="130"/>
      <c r="N15" s="130"/>
      <c r="O15" s="130"/>
      <c r="P15" s="130"/>
      <c r="Q15" s="130"/>
      <c r="R15" s="130"/>
      <c r="S15" s="130"/>
      <c r="T15" s="130"/>
    </row>
    <row r="16" spans="1:20" s="127" customFormat="1" ht="22.5" customHeight="1" x14ac:dyDescent="0.2">
      <c r="A16" s="127" t="str">
        <f>CHARMS!AJ$6</f>
        <v>Fernández-Hidalgo (b), 2018</v>
      </c>
      <c r="B16" s="207" t="str">
        <f>HLOOKUP($A16,CHARMS!$A$6:$CQ$89,1,)</f>
        <v>Fernández-Hidalgo (b), 2018</v>
      </c>
      <c r="C16" s="169" t="str">
        <f>HLOOKUP($A16,CHARMS!$A$6:$CQ$89,9,)</f>
        <v>Retrospective cohort</v>
      </c>
      <c r="D16" s="169" t="str">
        <f>HLOOKUP($A16,CHARMS!$A$6:$CQ$89,12,)</f>
        <v>2000 - 2011</v>
      </c>
      <c r="E16" s="169" t="str">
        <f>HLOOKUP($A16,CHARMS!$A$6:$CQ$89,13,)</f>
        <v>Cardiac surgery centers</v>
      </c>
      <c r="F16" s="169" t="str">
        <f>HLOOKUP($A16,CHARMS!$A$6:$CQ$89,14,)</f>
        <v>Spain</v>
      </c>
      <c r="G16" s="169" t="str">
        <f>HLOOKUP($A16,CHARMS!$A$6:$CQ$89,19,)</f>
        <v>58 (15.1)</v>
      </c>
      <c r="H16" s="169" t="str">
        <f>HLOOKUP($A16,CHARMS!$A$6:$CQ$89,20,)</f>
        <v>No information</v>
      </c>
      <c r="I16" s="169" t="str">
        <f>HLOOKUP($A16,CHARMS!$A$6:$CQ$89,21,)</f>
        <v>All</v>
      </c>
      <c r="J16" s="169">
        <f>HLOOKUP($A16,CHARMS!$A$6:$CQ$89,22,)</f>
        <v>0</v>
      </c>
      <c r="K16" s="169">
        <f>HLOOKUP($A16,CHARMS!$A$6:$CQ$89,23,)</f>
        <v>0</v>
      </c>
      <c r="L16" s="126"/>
      <c r="M16" s="126"/>
      <c r="N16" s="126"/>
      <c r="O16" s="126"/>
      <c r="P16" s="126"/>
      <c r="Q16" s="126"/>
      <c r="R16" s="126"/>
      <c r="S16" s="126"/>
      <c r="T16" s="126"/>
    </row>
    <row r="17" spans="1:20" s="127" customFormat="1" ht="22.5" customHeight="1" x14ac:dyDescent="0.2">
      <c r="A17" s="127" t="str">
        <f>CHARMS!AM$6</f>
        <v/>
      </c>
      <c r="B17" s="207" t="str">
        <f>HLOOKUP($A17,CHARMS!$A$6:$CQ$89,1,)</f>
        <v/>
      </c>
      <c r="C17" s="169">
        <f>HLOOKUP($A17,CHARMS!$A$6:$CQ$89,9,)</f>
        <v>0</v>
      </c>
      <c r="D17" s="169">
        <f>HLOOKUP($A17,CHARMS!$A$6:$CQ$89,12,)</f>
        <v>0</v>
      </c>
      <c r="E17" s="169">
        <f>HLOOKUP($A17,CHARMS!$A$6:$CQ$89,13,)</f>
        <v>0</v>
      </c>
      <c r="F17" s="169">
        <f>HLOOKUP($A17,CHARMS!$A$6:$CQ$89,14,)</f>
        <v>0</v>
      </c>
      <c r="G17" s="169">
        <f>HLOOKUP($A17,CHARMS!$A$6:$CQ$89,19,)</f>
        <v>0</v>
      </c>
      <c r="H17" s="169">
        <f>HLOOKUP($A17,CHARMS!$A$6:$CQ$89,20,)</f>
        <v>0</v>
      </c>
      <c r="I17" s="169">
        <f>HLOOKUP($A17,CHARMS!$A$6:$CQ$89,21,)</f>
        <v>0</v>
      </c>
      <c r="J17" s="169">
        <f>HLOOKUP($A17,CHARMS!$A$6:$CQ$89,22,)</f>
        <v>0</v>
      </c>
      <c r="K17" s="169">
        <f>HLOOKUP($A17,CHARMS!$A$6:$CQ$89,23,)</f>
        <v>0</v>
      </c>
      <c r="L17" s="126"/>
      <c r="M17" s="126"/>
      <c r="N17" s="126"/>
      <c r="O17" s="126"/>
      <c r="P17" s="126"/>
      <c r="Q17" s="126"/>
      <c r="R17" s="126"/>
      <c r="S17" s="126"/>
      <c r="T17" s="126"/>
    </row>
    <row r="18" spans="1:20" s="127" customFormat="1" ht="22.5" customHeight="1" x14ac:dyDescent="0.2">
      <c r="A18" s="127" t="str">
        <f>CHARMS!AP$6</f>
        <v/>
      </c>
      <c r="B18" s="207" t="str">
        <f>HLOOKUP($A18,CHARMS!$A$6:$CQ$89,1,)</f>
        <v/>
      </c>
      <c r="C18" s="169">
        <f>HLOOKUP($A18,CHARMS!$A$6:$CQ$89,9,)</f>
        <v>0</v>
      </c>
      <c r="D18" s="169">
        <f>HLOOKUP($A18,CHARMS!$A$6:$CQ$89,12,)</f>
        <v>0</v>
      </c>
      <c r="E18" s="169">
        <f>HLOOKUP($A18,CHARMS!$A$6:$CQ$89,13,)</f>
        <v>0</v>
      </c>
      <c r="F18" s="169">
        <f>HLOOKUP($A18,CHARMS!$A$6:$CQ$89,14,)</f>
        <v>0</v>
      </c>
      <c r="G18" s="169">
        <f>HLOOKUP($A18,CHARMS!$A$6:$CQ$89,19,)</f>
        <v>0</v>
      </c>
      <c r="H18" s="169">
        <f>HLOOKUP($A18,CHARMS!$A$6:$CQ$89,20,)</f>
        <v>0</v>
      </c>
      <c r="I18" s="169">
        <f>HLOOKUP($A18,CHARMS!$A$6:$CQ$89,21,)</f>
        <v>0</v>
      </c>
      <c r="J18" s="169">
        <f>HLOOKUP($A18,CHARMS!$A$6:$CQ$89,22,)</f>
        <v>0</v>
      </c>
      <c r="K18" s="169">
        <f>HLOOKUP($A18,CHARMS!$A$6:$CQ$89,23,)</f>
        <v>0</v>
      </c>
      <c r="L18" s="126"/>
      <c r="M18" s="126"/>
      <c r="N18" s="126"/>
      <c r="O18" s="126"/>
      <c r="P18" s="126"/>
      <c r="Q18" s="126"/>
      <c r="R18" s="126"/>
      <c r="S18" s="126"/>
      <c r="T18" s="126"/>
    </row>
    <row r="19" spans="1:20" s="127" customFormat="1" ht="22.5" customHeight="1" x14ac:dyDescent="0.2">
      <c r="A19" s="127" t="str">
        <f>CHARMS!AS$6</f>
        <v/>
      </c>
      <c r="B19" s="207" t="str">
        <f>HLOOKUP($A19,CHARMS!$A$6:$CQ$89,1,)</f>
        <v/>
      </c>
      <c r="C19" s="169">
        <f>HLOOKUP($A19,CHARMS!$A$6:$CQ$89,9,)</f>
        <v>0</v>
      </c>
      <c r="D19" s="169">
        <f>HLOOKUP($A19,CHARMS!$A$6:$CQ$89,12,)</f>
        <v>0</v>
      </c>
      <c r="E19" s="169">
        <f>HLOOKUP($A19,CHARMS!$A$6:$CQ$89,13,)</f>
        <v>0</v>
      </c>
      <c r="F19" s="169">
        <f>HLOOKUP($A19,CHARMS!$A$6:$CQ$89,14,)</f>
        <v>0</v>
      </c>
      <c r="G19" s="169">
        <f>HLOOKUP($A19,CHARMS!$A$6:$CQ$89,19,)</f>
        <v>0</v>
      </c>
      <c r="H19" s="169">
        <f>HLOOKUP($A19,CHARMS!$A$6:$CQ$89,20,)</f>
        <v>0</v>
      </c>
      <c r="I19" s="169">
        <f>HLOOKUP($A19,CHARMS!$A$6:$CQ$89,21,)</f>
        <v>0</v>
      </c>
      <c r="J19" s="169">
        <f>HLOOKUP($A19,CHARMS!$A$6:$CQ$89,22,)</f>
        <v>0</v>
      </c>
      <c r="K19" s="169">
        <f>HLOOKUP($A19,CHARMS!$A$6:$CQ$89,23,)</f>
        <v>0</v>
      </c>
      <c r="L19" s="126"/>
      <c r="M19" s="126"/>
      <c r="N19" s="126"/>
      <c r="O19" s="126"/>
      <c r="P19" s="126"/>
      <c r="Q19" s="126"/>
      <c r="R19" s="126"/>
      <c r="S19" s="126"/>
      <c r="T19" s="126"/>
    </row>
    <row r="20" spans="1:20" s="127" customFormat="1" ht="22.5" customHeight="1" x14ac:dyDescent="0.2">
      <c r="A20" s="127" t="str">
        <f>CHARMS!AV$6</f>
        <v/>
      </c>
      <c r="B20" s="207" t="str">
        <f>HLOOKUP($A20,CHARMS!$A$6:$CQ$89,1,)</f>
        <v/>
      </c>
      <c r="C20" s="169">
        <f>HLOOKUP($A20,CHARMS!$A$6:$CQ$89,9,)</f>
        <v>0</v>
      </c>
      <c r="D20" s="169">
        <f>HLOOKUP($A20,CHARMS!$A$6:$CQ$89,12,)</f>
        <v>0</v>
      </c>
      <c r="E20" s="169">
        <f>HLOOKUP($A20,CHARMS!$A$6:$CQ$89,13,)</f>
        <v>0</v>
      </c>
      <c r="F20" s="169">
        <f>HLOOKUP($A20,CHARMS!$A$6:$CQ$89,14,)</f>
        <v>0</v>
      </c>
      <c r="G20" s="169">
        <f>HLOOKUP($A20,CHARMS!$A$6:$CQ$89,19,)</f>
        <v>0</v>
      </c>
      <c r="H20" s="169">
        <f>HLOOKUP($A20,CHARMS!$A$6:$CQ$89,20,)</f>
        <v>0</v>
      </c>
      <c r="I20" s="169">
        <f>HLOOKUP($A20,CHARMS!$A$6:$CQ$89,21,)</f>
        <v>0</v>
      </c>
      <c r="J20" s="169">
        <f>HLOOKUP($A20,CHARMS!$A$6:$CQ$89,22,)</f>
        <v>0</v>
      </c>
      <c r="K20" s="169">
        <f>HLOOKUP($A20,CHARMS!$A$6:$CQ$89,23,)</f>
        <v>0</v>
      </c>
      <c r="L20" s="126"/>
      <c r="M20" s="126"/>
      <c r="N20" s="126"/>
      <c r="O20" s="126"/>
      <c r="P20" s="126"/>
      <c r="Q20" s="126"/>
      <c r="R20" s="126"/>
      <c r="S20" s="126"/>
      <c r="T20" s="126"/>
    </row>
    <row r="21" spans="1:20" s="127" customFormat="1" ht="22.5" customHeight="1" x14ac:dyDescent="0.2">
      <c r="A21" s="127" t="str">
        <f>CHARMS!AY$6</f>
        <v/>
      </c>
      <c r="B21" s="207" t="str">
        <f>HLOOKUP($A21,CHARMS!$A$6:$CQ$89,1,)</f>
        <v/>
      </c>
      <c r="C21" s="169">
        <f>HLOOKUP($A21,CHARMS!$A$6:$CQ$89,9,)</f>
        <v>0</v>
      </c>
      <c r="D21" s="169">
        <f>HLOOKUP($A21,CHARMS!$A$6:$CQ$89,12,)</f>
        <v>0</v>
      </c>
      <c r="E21" s="169">
        <f>HLOOKUP($A21,CHARMS!$A$6:$CQ$89,13,)</f>
        <v>0</v>
      </c>
      <c r="F21" s="169">
        <f>HLOOKUP($A21,CHARMS!$A$6:$CQ$89,14,)</f>
        <v>0</v>
      </c>
      <c r="G21" s="169">
        <f>HLOOKUP($A21,CHARMS!$A$6:$CQ$89,19,)</f>
        <v>0</v>
      </c>
      <c r="H21" s="169">
        <f>HLOOKUP($A21,CHARMS!$A$6:$CQ$89,20,)</f>
        <v>0</v>
      </c>
      <c r="I21" s="169">
        <f>HLOOKUP($A21,CHARMS!$A$6:$CQ$89,21,)</f>
        <v>0</v>
      </c>
      <c r="J21" s="169">
        <f>HLOOKUP($A21,CHARMS!$A$6:$CQ$89,22,)</f>
        <v>0</v>
      </c>
      <c r="K21" s="169">
        <f>HLOOKUP($A21,CHARMS!$A$6:$CQ$89,23,)</f>
        <v>0</v>
      </c>
      <c r="L21" s="126"/>
      <c r="M21" s="126"/>
      <c r="N21" s="126"/>
      <c r="O21" s="126"/>
      <c r="P21" s="126"/>
      <c r="Q21" s="126"/>
      <c r="R21" s="126"/>
      <c r="S21" s="126"/>
      <c r="T21" s="126"/>
    </row>
    <row r="22" spans="1:20" s="127" customFormat="1" ht="22.5" customHeight="1" x14ac:dyDescent="0.2">
      <c r="A22" s="127" t="str">
        <f>CHARMS!BB$6</f>
        <v/>
      </c>
      <c r="B22" s="207" t="str">
        <f>HLOOKUP($A22,CHARMS!$A$6:$CQ$89,1,)</f>
        <v/>
      </c>
      <c r="C22" s="169">
        <f>HLOOKUP($A22,CHARMS!$A$6:$CQ$89,9,)</f>
        <v>0</v>
      </c>
      <c r="D22" s="169">
        <f>HLOOKUP($A22,CHARMS!$A$6:$CQ$89,12,)</f>
        <v>0</v>
      </c>
      <c r="E22" s="169">
        <f>HLOOKUP($A22,CHARMS!$A$6:$CQ$89,13,)</f>
        <v>0</v>
      </c>
      <c r="F22" s="169">
        <f>HLOOKUP($A22,CHARMS!$A$6:$CQ$89,14,)</f>
        <v>0</v>
      </c>
      <c r="G22" s="169">
        <f>HLOOKUP($A22,CHARMS!$A$6:$CQ$89,19,)</f>
        <v>0</v>
      </c>
      <c r="H22" s="169">
        <f>HLOOKUP($A22,CHARMS!$A$6:$CQ$89,20,)</f>
        <v>0</v>
      </c>
      <c r="I22" s="169">
        <f>HLOOKUP($A22,CHARMS!$A$6:$CQ$89,21,)</f>
        <v>0</v>
      </c>
      <c r="J22" s="169">
        <f>HLOOKUP($A22,CHARMS!$A$6:$CQ$89,22,)</f>
        <v>0</v>
      </c>
      <c r="K22" s="169">
        <f>HLOOKUP($A22,CHARMS!$A$6:$CQ$89,23,)</f>
        <v>0</v>
      </c>
      <c r="L22" s="126"/>
      <c r="M22" s="126"/>
      <c r="N22" s="126"/>
      <c r="O22" s="126"/>
      <c r="P22" s="126"/>
      <c r="Q22" s="126"/>
      <c r="R22" s="126"/>
      <c r="S22" s="126"/>
      <c r="T22" s="126"/>
    </row>
    <row r="23" spans="1:20" s="127" customFormat="1" ht="22.5" customHeight="1" x14ac:dyDescent="0.2">
      <c r="A23" s="127" t="str">
        <f>CHARMS!BE$6</f>
        <v/>
      </c>
      <c r="B23" s="207" t="str">
        <f>HLOOKUP($A23,CHARMS!$A$6:$CQ$89,1,)</f>
        <v/>
      </c>
      <c r="C23" s="169">
        <f>HLOOKUP($A23,CHARMS!$A$6:$CQ$89,9,)</f>
        <v>0</v>
      </c>
      <c r="D23" s="169">
        <f>HLOOKUP($A23,CHARMS!$A$6:$CQ$89,12,)</f>
        <v>0</v>
      </c>
      <c r="E23" s="169">
        <f>HLOOKUP($A23,CHARMS!$A$6:$CQ$89,13,)</f>
        <v>0</v>
      </c>
      <c r="F23" s="169">
        <f>HLOOKUP($A23,CHARMS!$A$6:$CQ$89,14,)</f>
        <v>0</v>
      </c>
      <c r="G23" s="169">
        <f>HLOOKUP($A23,CHARMS!$A$6:$CQ$89,19,)</f>
        <v>0</v>
      </c>
      <c r="H23" s="169">
        <f>HLOOKUP($A23,CHARMS!$A$6:$CQ$89,20,)</f>
        <v>0</v>
      </c>
      <c r="I23" s="169">
        <f>HLOOKUP($A23,CHARMS!$A$6:$CQ$89,21,)</f>
        <v>0</v>
      </c>
      <c r="J23" s="169">
        <f>HLOOKUP($A23,CHARMS!$A$6:$CQ$89,22,)</f>
        <v>0</v>
      </c>
      <c r="K23" s="169">
        <f>HLOOKUP($A23,CHARMS!$A$6:$CQ$89,23,)</f>
        <v>0</v>
      </c>
      <c r="L23" s="126"/>
      <c r="M23" s="126"/>
      <c r="N23" s="126"/>
      <c r="O23" s="126"/>
      <c r="P23" s="126"/>
      <c r="Q23" s="126"/>
      <c r="R23" s="126"/>
      <c r="S23" s="126"/>
      <c r="T23" s="126"/>
    </row>
    <row r="24" spans="1:20" s="127" customFormat="1" ht="22.5" customHeight="1" x14ac:dyDescent="0.2">
      <c r="A24" s="127" t="str">
        <f>CHARMS!BH$6</f>
        <v/>
      </c>
      <c r="B24" s="207" t="str">
        <f>HLOOKUP($A24,CHARMS!$A$6:$CQ$89,1,)</f>
        <v/>
      </c>
      <c r="C24" s="169">
        <f>HLOOKUP($A24,CHARMS!$A$6:$CQ$89,9,)</f>
        <v>0</v>
      </c>
      <c r="D24" s="169">
        <f>HLOOKUP($A24,CHARMS!$A$6:$CQ$89,12,)</f>
        <v>0</v>
      </c>
      <c r="E24" s="169">
        <f>HLOOKUP($A24,CHARMS!$A$6:$CQ$89,13,)</f>
        <v>0</v>
      </c>
      <c r="F24" s="169">
        <f>HLOOKUP($A24,CHARMS!$A$6:$CQ$89,14,)</f>
        <v>0</v>
      </c>
      <c r="G24" s="169">
        <f>HLOOKUP($A24,CHARMS!$A$6:$CQ$89,19,)</f>
        <v>0</v>
      </c>
      <c r="H24" s="169">
        <f>HLOOKUP($A24,CHARMS!$A$6:$CQ$89,20,)</f>
        <v>0</v>
      </c>
      <c r="I24" s="169">
        <f>HLOOKUP($A24,CHARMS!$A$6:$CQ$89,21,)</f>
        <v>0</v>
      </c>
      <c r="J24" s="169">
        <f>HLOOKUP($A24,CHARMS!$A$6:$CQ$89,22,)</f>
        <v>0</v>
      </c>
      <c r="K24" s="169">
        <f>HLOOKUP($A24,CHARMS!$A$6:$CQ$89,23,)</f>
        <v>0</v>
      </c>
      <c r="L24" s="126"/>
      <c r="M24" s="126"/>
      <c r="N24" s="126"/>
      <c r="O24" s="126"/>
      <c r="P24" s="126"/>
      <c r="Q24" s="126"/>
      <c r="R24" s="126"/>
      <c r="S24" s="126"/>
      <c r="T24" s="126"/>
    </row>
    <row r="25" spans="1:20" s="127" customFormat="1" ht="22.5" customHeight="1" x14ac:dyDescent="0.2">
      <c r="A25" s="127" t="str">
        <f>CHARMS!BK$6</f>
        <v/>
      </c>
      <c r="B25" s="207" t="str">
        <f>HLOOKUP($A25,CHARMS!$A$6:$CQ$89,1,)</f>
        <v/>
      </c>
      <c r="C25" s="169">
        <f>HLOOKUP($A25,CHARMS!$A$6:$CQ$89,9,)</f>
        <v>0</v>
      </c>
      <c r="D25" s="169">
        <f>HLOOKUP($A25,CHARMS!$A$6:$CQ$89,12,)</f>
        <v>0</v>
      </c>
      <c r="E25" s="169">
        <f>HLOOKUP($A25,CHARMS!$A$6:$CQ$89,13,)</f>
        <v>0</v>
      </c>
      <c r="F25" s="169">
        <f>HLOOKUP($A25,CHARMS!$A$6:$CQ$89,14,)</f>
        <v>0</v>
      </c>
      <c r="G25" s="169">
        <f>HLOOKUP($A25,CHARMS!$A$6:$CQ$89,19,)</f>
        <v>0</v>
      </c>
      <c r="H25" s="169">
        <f>HLOOKUP($A25,CHARMS!$A$6:$CQ$89,20,)</f>
        <v>0</v>
      </c>
      <c r="I25" s="169">
        <f>HLOOKUP($A25,CHARMS!$A$6:$CQ$89,21,)</f>
        <v>0</v>
      </c>
      <c r="J25" s="169">
        <f>HLOOKUP($A25,CHARMS!$A$6:$CQ$89,22,)</f>
        <v>0</v>
      </c>
      <c r="K25" s="169">
        <f>HLOOKUP($A25,CHARMS!$A$6:$CQ$89,23,)</f>
        <v>0</v>
      </c>
      <c r="L25" s="126"/>
      <c r="M25" s="126"/>
      <c r="N25" s="126"/>
      <c r="O25" s="126"/>
      <c r="P25" s="126"/>
      <c r="Q25" s="126"/>
      <c r="R25" s="126"/>
      <c r="S25" s="126"/>
      <c r="T25" s="126"/>
    </row>
    <row r="26" spans="1:20" s="127" customFormat="1" ht="22.5" customHeight="1" x14ac:dyDescent="0.2">
      <c r="A26" s="127" t="str">
        <f>CHARMS!BN$6</f>
        <v/>
      </c>
      <c r="B26" s="207" t="str">
        <f>HLOOKUP($A26,CHARMS!$A$6:$CQ$89,1,)</f>
        <v/>
      </c>
      <c r="C26" s="169">
        <f>HLOOKUP($A26,CHARMS!$A$6:$CQ$89,9,)</f>
        <v>0</v>
      </c>
      <c r="D26" s="169">
        <f>HLOOKUP($A26,CHARMS!$A$6:$CQ$89,12,)</f>
        <v>0</v>
      </c>
      <c r="E26" s="169">
        <f>HLOOKUP($A26,CHARMS!$A$6:$CQ$89,13,)</f>
        <v>0</v>
      </c>
      <c r="F26" s="169">
        <f>HLOOKUP($A26,CHARMS!$A$6:$CQ$89,14,)</f>
        <v>0</v>
      </c>
      <c r="G26" s="169">
        <f>HLOOKUP($A26,CHARMS!$A$6:$CQ$89,19,)</f>
        <v>0</v>
      </c>
      <c r="H26" s="169">
        <f>HLOOKUP($A26,CHARMS!$A$6:$CQ$89,20,)</f>
        <v>0</v>
      </c>
      <c r="I26" s="169">
        <f>HLOOKUP($A26,CHARMS!$A$6:$CQ$89,21,)</f>
        <v>0</v>
      </c>
      <c r="J26" s="169">
        <f>HLOOKUP($A26,CHARMS!$A$6:$CQ$89,22,)</f>
        <v>0</v>
      </c>
      <c r="K26" s="169">
        <f>HLOOKUP($A26,CHARMS!$A$6:$CQ$89,23,)</f>
        <v>0</v>
      </c>
      <c r="L26" s="126"/>
      <c r="M26" s="126"/>
      <c r="N26" s="126"/>
      <c r="O26" s="126"/>
      <c r="P26" s="126"/>
      <c r="Q26" s="126"/>
      <c r="R26" s="126"/>
      <c r="S26" s="126"/>
      <c r="T26" s="126"/>
    </row>
    <row r="27" spans="1:20" s="127" customFormat="1" ht="22.5" customHeight="1" x14ac:dyDescent="0.2">
      <c r="A27" s="127" t="str">
        <f>CHARMS!BQ$6</f>
        <v/>
      </c>
      <c r="B27" s="207" t="str">
        <f>HLOOKUP($A27,CHARMS!$A$6:$CQ$89,1,)</f>
        <v/>
      </c>
      <c r="C27" s="169">
        <f>HLOOKUP($A27,CHARMS!$A$6:$CQ$89,9,)</f>
        <v>0</v>
      </c>
      <c r="D27" s="169">
        <f>HLOOKUP($A27,CHARMS!$A$6:$CQ$89,12,)</f>
        <v>0</v>
      </c>
      <c r="E27" s="169">
        <f>HLOOKUP($A27,CHARMS!$A$6:$CQ$89,13,)</f>
        <v>0</v>
      </c>
      <c r="F27" s="169">
        <f>HLOOKUP($A27,CHARMS!$A$6:$CQ$89,14,)</f>
        <v>0</v>
      </c>
      <c r="G27" s="169">
        <f>HLOOKUP($A27,CHARMS!$A$6:$CQ$89,19,)</f>
        <v>0</v>
      </c>
      <c r="H27" s="169">
        <f>HLOOKUP($A27,CHARMS!$A$6:$CQ$89,20,)</f>
        <v>0</v>
      </c>
      <c r="I27" s="169">
        <f>HLOOKUP($A27,CHARMS!$A$6:$CQ$89,21,)</f>
        <v>0</v>
      </c>
      <c r="J27" s="169">
        <f>HLOOKUP($A27,CHARMS!$A$6:$CQ$89,22,)</f>
        <v>0</v>
      </c>
      <c r="K27" s="169">
        <f>HLOOKUP($A27,CHARMS!$A$6:$CQ$89,23,)</f>
        <v>0</v>
      </c>
      <c r="L27" s="126"/>
      <c r="M27" s="126"/>
      <c r="N27" s="126"/>
      <c r="O27" s="126"/>
      <c r="P27" s="126"/>
      <c r="Q27" s="126"/>
      <c r="R27" s="126"/>
      <c r="S27" s="126"/>
      <c r="T27" s="126"/>
    </row>
    <row r="28" spans="1:20" s="127" customFormat="1" ht="22.5" customHeight="1" x14ac:dyDescent="0.2">
      <c r="A28" s="127" t="str">
        <f>CHARMS!BT$6</f>
        <v/>
      </c>
      <c r="B28" s="207" t="str">
        <f>HLOOKUP($A28,CHARMS!$A$6:$CQ$89,1,)</f>
        <v/>
      </c>
      <c r="C28" s="169">
        <f>HLOOKUP($A28,CHARMS!$A$6:$CQ$89,9,)</f>
        <v>0</v>
      </c>
      <c r="D28" s="169">
        <f>HLOOKUP($A28,CHARMS!$A$6:$CQ$89,12,)</f>
        <v>0</v>
      </c>
      <c r="E28" s="169">
        <f>HLOOKUP($A28,CHARMS!$A$6:$CQ$89,13,)</f>
        <v>0</v>
      </c>
      <c r="F28" s="169">
        <f>HLOOKUP($A28,CHARMS!$A$6:$CQ$89,14,)</f>
        <v>0</v>
      </c>
      <c r="G28" s="169">
        <f>HLOOKUP($A28,CHARMS!$A$6:$CQ$89,19,)</f>
        <v>0</v>
      </c>
      <c r="H28" s="169">
        <f>HLOOKUP($A28,CHARMS!$A$6:$CQ$89,20,)</f>
        <v>0</v>
      </c>
      <c r="I28" s="169">
        <f>HLOOKUP($A28,CHARMS!$A$6:$CQ$89,21,)</f>
        <v>0</v>
      </c>
      <c r="J28" s="169">
        <f>HLOOKUP($A28,CHARMS!$A$6:$CQ$89,22,)</f>
        <v>0</v>
      </c>
      <c r="K28" s="169">
        <f>HLOOKUP($A28,CHARMS!$A$6:$CQ$89,23,)</f>
        <v>0</v>
      </c>
      <c r="L28" s="126"/>
      <c r="M28" s="126"/>
      <c r="N28" s="126"/>
      <c r="O28" s="126"/>
      <c r="P28" s="126"/>
      <c r="Q28" s="126"/>
      <c r="R28" s="126"/>
      <c r="S28" s="126"/>
      <c r="T28" s="126"/>
    </row>
    <row r="29" spans="1:20" s="127" customFormat="1" ht="22.5" customHeight="1" x14ac:dyDescent="0.2">
      <c r="A29" s="127" t="str">
        <f>CHARMS!BW$6</f>
        <v/>
      </c>
      <c r="B29" s="207" t="str">
        <f>HLOOKUP($A29,CHARMS!$A$6:$CQ$89,1,)</f>
        <v/>
      </c>
      <c r="C29" s="169">
        <f>HLOOKUP($A29,CHARMS!$A$6:$CQ$89,9,)</f>
        <v>0</v>
      </c>
      <c r="D29" s="169">
        <f>HLOOKUP($A29,CHARMS!$A$6:$CQ$89,12,)</f>
        <v>0</v>
      </c>
      <c r="E29" s="169">
        <f>HLOOKUP($A29,CHARMS!$A$6:$CQ$89,13,)</f>
        <v>0</v>
      </c>
      <c r="F29" s="169">
        <f>HLOOKUP($A29,CHARMS!$A$6:$CQ$89,14,)</f>
        <v>0</v>
      </c>
      <c r="G29" s="169">
        <f>HLOOKUP($A29,CHARMS!$A$6:$CQ$89,19,)</f>
        <v>0</v>
      </c>
      <c r="H29" s="169">
        <f>HLOOKUP($A29,CHARMS!$A$6:$CQ$89,20,)</f>
        <v>0</v>
      </c>
      <c r="I29" s="169">
        <f>HLOOKUP($A29,CHARMS!$A$6:$CQ$89,21,)</f>
        <v>0</v>
      </c>
      <c r="J29" s="169">
        <f>HLOOKUP($A29,CHARMS!$A$6:$CQ$89,22,)</f>
        <v>0</v>
      </c>
      <c r="K29" s="169">
        <f>HLOOKUP($A29,CHARMS!$A$6:$CQ$89,23,)</f>
        <v>0</v>
      </c>
      <c r="L29" s="126"/>
      <c r="M29" s="126"/>
      <c r="N29" s="126"/>
      <c r="O29" s="126"/>
      <c r="P29" s="126"/>
      <c r="Q29" s="126"/>
      <c r="R29" s="126"/>
      <c r="S29" s="126"/>
      <c r="T29" s="126"/>
    </row>
    <row r="30" spans="1:20" s="127" customFormat="1" ht="22.5" customHeight="1" x14ac:dyDescent="0.2">
      <c r="A30" s="127" t="str">
        <f>CHARMS!BZ$6</f>
        <v/>
      </c>
      <c r="B30" s="207" t="str">
        <f>HLOOKUP($A30,CHARMS!$A$6:$CQ$89,1,)</f>
        <v/>
      </c>
      <c r="C30" s="169">
        <f>HLOOKUP($A30,CHARMS!$A$6:$CQ$89,9,)</f>
        <v>0</v>
      </c>
      <c r="D30" s="169">
        <f>HLOOKUP($A30,CHARMS!$A$6:$CQ$89,12,)</f>
        <v>0</v>
      </c>
      <c r="E30" s="169">
        <f>HLOOKUP($A30,CHARMS!$A$6:$CQ$89,13,)</f>
        <v>0</v>
      </c>
      <c r="F30" s="169">
        <f>HLOOKUP($A30,CHARMS!$A$6:$CQ$89,14,)</f>
        <v>0</v>
      </c>
      <c r="G30" s="169">
        <f>HLOOKUP($A30,CHARMS!$A$6:$CQ$89,19,)</f>
        <v>0</v>
      </c>
      <c r="H30" s="169">
        <f>HLOOKUP($A30,CHARMS!$A$6:$CQ$89,20,)</f>
        <v>0</v>
      </c>
      <c r="I30" s="169">
        <f>HLOOKUP($A30,CHARMS!$A$6:$CQ$89,21,)</f>
        <v>0</v>
      </c>
      <c r="J30" s="169">
        <f>HLOOKUP($A30,CHARMS!$A$6:$CQ$89,22,)</f>
        <v>0</v>
      </c>
      <c r="K30" s="169">
        <f>HLOOKUP($A30,CHARMS!$A$6:$CQ$89,23,)</f>
        <v>0</v>
      </c>
      <c r="L30" s="126"/>
      <c r="M30" s="126"/>
      <c r="N30" s="126"/>
      <c r="O30" s="126"/>
      <c r="P30" s="126"/>
      <c r="Q30" s="126"/>
      <c r="R30" s="126"/>
      <c r="S30" s="126"/>
      <c r="T30" s="126"/>
    </row>
    <row r="31" spans="1:20" s="127" customFormat="1" ht="22.5" customHeight="1" x14ac:dyDescent="0.2">
      <c r="A31" s="127" t="str">
        <f>CHARMS!CC$6</f>
        <v/>
      </c>
      <c r="B31" s="207" t="str">
        <f>HLOOKUP($A31,CHARMS!$A$6:$CQ$89,1,)</f>
        <v/>
      </c>
      <c r="C31" s="169">
        <f>HLOOKUP($A31,CHARMS!$A$6:$CQ$89,9,)</f>
        <v>0</v>
      </c>
      <c r="D31" s="169">
        <f>HLOOKUP($A31,CHARMS!$A$6:$CQ$89,12,)</f>
        <v>0</v>
      </c>
      <c r="E31" s="169">
        <f>HLOOKUP($A31,CHARMS!$A$6:$CQ$89,13,)</f>
        <v>0</v>
      </c>
      <c r="F31" s="169">
        <f>HLOOKUP($A31,CHARMS!$A$6:$CQ$89,14,)</f>
        <v>0</v>
      </c>
      <c r="G31" s="169">
        <f>HLOOKUP($A31,CHARMS!$A$6:$CQ$89,19,)</f>
        <v>0</v>
      </c>
      <c r="H31" s="169">
        <f>HLOOKUP($A31,CHARMS!$A$6:$CQ$89,20,)</f>
        <v>0</v>
      </c>
      <c r="I31" s="169">
        <f>HLOOKUP($A31,CHARMS!$A$6:$CQ$89,21,)</f>
        <v>0</v>
      </c>
      <c r="J31" s="169">
        <f>HLOOKUP($A31,CHARMS!$A$6:$CQ$89,22,)</f>
        <v>0</v>
      </c>
      <c r="K31" s="169">
        <f>HLOOKUP($A31,CHARMS!$A$6:$CQ$89,23,)</f>
        <v>0</v>
      </c>
      <c r="L31" s="126"/>
      <c r="M31" s="126"/>
      <c r="N31" s="126"/>
      <c r="O31" s="126"/>
      <c r="P31" s="126"/>
      <c r="Q31" s="126"/>
      <c r="R31" s="126"/>
      <c r="S31" s="126"/>
      <c r="T31" s="126"/>
    </row>
    <row r="32" spans="1:20" s="127" customFormat="1" ht="22.5" customHeight="1" x14ac:dyDescent="0.2">
      <c r="A32" s="127" t="str">
        <f>CHARMS!CF$6</f>
        <v/>
      </c>
      <c r="B32" s="207" t="str">
        <f>HLOOKUP($A32,CHARMS!$A$6:$CQ$89,1,)</f>
        <v/>
      </c>
      <c r="C32" s="169">
        <f>HLOOKUP($A32,CHARMS!$A$6:$CQ$89,9,)</f>
        <v>0</v>
      </c>
      <c r="D32" s="169">
        <f>HLOOKUP($A32,CHARMS!$A$6:$CQ$89,12,)</f>
        <v>0</v>
      </c>
      <c r="E32" s="169">
        <f>HLOOKUP($A32,CHARMS!$A$6:$CQ$89,13,)</f>
        <v>0</v>
      </c>
      <c r="F32" s="169">
        <f>HLOOKUP($A32,CHARMS!$A$6:$CQ$89,14,)</f>
        <v>0</v>
      </c>
      <c r="G32" s="169">
        <f>HLOOKUP($A32,CHARMS!$A$6:$CQ$89,19,)</f>
        <v>0</v>
      </c>
      <c r="H32" s="169">
        <f>HLOOKUP($A32,CHARMS!$A$6:$CQ$89,20,)</f>
        <v>0</v>
      </c>
      <c r="I32" s="169">
        <f>HLOOKUP($A32,CHARMS!$A$6:$CQ$89,21,)</f>
        <v>0</v>
      </c>
      <c r="J32" s="169">
        <f>HLOOKUP($A32,CHARMS!$A$6:$CQ$89,22,)</f>
        <v>0</v>
      </c>
      <c r="K32" s="169">
        <f>HLOOKUP($A32,CHARMS!$A$6:$CQ$89,23,)</f>
        <v>0</v>
      </c>
      <c r="L32" s="126"/>
      <c r="M32" s="126"/>
      <c r="N32" s="126"/>
      <c r="O32" s="126"/>
      <c r="P32" s="126"/>
      <c r="Q32" s="126"/>
      <c r="R32" s="126"/>
      <c r="S32" s="126"/>
      <c r="T32" s="126"/>
    </row>
    <row r="33" spans="1:20" s="127" customFormat="1" ht="22.5" customHeight="1" x14ac:dyDescent="0.2">
      <c r="A33" s="127" t="str">
        <f>CHARMS!CI$6</f>
        <v/>
      </c>
      <c r="B33" s="207" t="str">
        <f>HLOOKUP($A33,CHARMS!$A$6:$CQ$89,1,)</f>
        <v/>
      </c>
      <c r="C33" s="169">
        <f>HLOOKUP($A33,CHARMS!$A$6:$CQ$89,9,)</f>
        <v>0</v>
      </c>
      <c r="D33" s="169">
        <f>HLOOKUP($A33,CHARMS!$A$6:$CQ$89,12,)</f>
        <v>0</v>
      </c>
      <c r="E33" s="169">
        <f>HLOOKUP($A33,CHARMS!$A$6:$CQ$89,13,)</f>
        <v>0</v>
      </c>
      <c r="F33" s="169">
        <f>HLOOKUP($A33,CHARMS!$A$6:$CQ$89,14,)</f>
        <v>0</v>
      </c>
      <c r="G33" s="169">
        <f>HLOOKUP($A33,CHARMS!$A$6:$CQ$89,19,)</f>
        <v>0</v>
      </c>
      <c r="H33" s="169">
        <f>HLOOKUP($A33,CHARMS!$A$6:$CQ$89,20,)</f>
        <v>0</v>
      </c>
      <c r="I33" s="169">
        <f>HLOOKUP($A33,CHARMS!$A$6:$CQ$89,21,)</f>
        <v>0</v>
      </c>
      <c r="J33" s="169">
        <f>HLOOKUP($A33,CHARMS!$A$6:$CQ$89,22,)</f>
        <v>0</v>
      </c>
      <c r="K33" s="169">
        <f>HLOOKUP($A33,CHARMS!$A$6:$CQ$89,23,)</f>
        <v>0</v>
      </c>
      <c r="L33" s="126"/>
      <c r="M33" s="126"/>
      <c r="N33" s="126"/>
      <c r="O33" s="126"/>
      <c r="P33" s="126"/>
      <c r="Q33" s="126"/>
      <c r="R33" s="126"/>
      <c r="S33" s="126"/>
      <c r="T33" s="126"/>
    </row>
    <row r="34" spans="1:20" s="127" customFormat="1" ht="22.5" customHeight="1" x14ac:dyDescent="0.2">
      <c r="A34" s="127" t="str">
        <f>CHARMS!CL$6</f>
        <v/>
      </c>
      <c r="B34" s="207" t="str">
        <f>HLOOKUP($A34,CHARMS!$A$6:$CQ$89,1,)</f>
        <v/>
      </c>
      <c r="C34" s="169">
        <f>HLOOKUP($A34,CHARMS!$A$6:$CQ$89,9,)</f>
        <v>0</v>
      </c>
      <c r="D34" s="169">
        <f>HLOOKUP($A34,CHARMS!$A$6:$CQ$89,12,)</f>
        <v>0</v>
      </c>
      <c r="E34" s="169">
        <f>HLOOKUP($A34,CHARMS!$A$6:$CQ$89,13,)</f>
        <v>0</v>
      </c>
      <c r="F34" s="169">
        <f>HLOOKUP($A34,CHARMS!$A$6:$CQ$89,14,)</f>
        <v>0</v>
      </c>
      <c r="G34" s="169">
        <f>HLOOKUP($A34,CHARMS!$A$6:$CQ$89,19,)</f>
        <v>0</v>
      </c>
      <c r="H34" s="169">
        <f>HLOOKUP($A34,CHARMS!$A$6:$CQ$89,20,)</f>
        <v>0</v>
      </c>
      <c r="I34" s="169">
        <f>HLOOKUP($A34,CHARMS!$A$6:$CQ$89,21,)</f>
        <v>0</v>
      </c>
      <c r="J34" s="169">
        <f>HLOOKUP($A34,CHARMS!$A$6:$CQ$89,22,)</f>
        <v>0</v>
      </c>
      <c r="K34" s="169">
        <f>HLOOKUP($A34,CHARMS!$A$6:$CQ$89,23,)</f>
        <v>0</v>
      </c>
      <c r="L34" s="126"/>
      <c r="M34" s="126"/>
      <c r="N34" s="126"/>
      <c r="O34" s="126"/>
      <c r="P34" s="126"/>
      <c r="Q34" s="126"/>
      <c r="R34" s="126"/>
      <c r="S34" s="126"/>
      <c r="T34" s="126"/>
    </row>
    <row r="35" spans="1:20" s="127" customFormat="1" ht="22.5" customHeight="1" x14ac:dyDescent="0.2">
      <c r="A35" s="127" t="str">
        <f>CHARMS!CO$6</f>
        <v/>
      </c>
      <c r="B35" s="208" t="str">
        <f>HLOOKUP($A35,CHARMS!$A$6:$CQ$89,1,)</f>
        <v/>
      </c>
      <c r="C35" s="172">
        <f>HLOOKUP($A35,CHARMS!$A$6:$CQ$89,9,)</f>
        <v>0</v>
      </c>
      <c r="D35" s="172">
        <f>HLOOKUP($A35,CHARMS!$A$6:$CQ$89,12,)</f>
        <v>0</v>
      </c>
      <c r="E35" s="172">
        <f>HLOOKUP($A35,CHARMS!$A$6:$CQ$89,13,)</f>
        <v>0</v>
      </c>
      <c r="F35" s="172">
        <f>HLOOKUP($A35,CHARMS!$A$6:$CQ$89,14,)</f>
        <v>0</v>
      </c>
      <c r="G35" s="172">
        <f>HLOOKUP($A35,CHARMS!$A$6:$CQ$89,19,)</f>
        <v>0</v>
      </c>
      <c r="H35" s="172">
        <f>HLOOKUP($A35,CHARMS!$A$6:$CQ$89,20,)</f>
        <v>0</v>
      </c>
      <c r="I35" s="172">
        <f>HLOOKUP($A35,CHARMS!$A$6:$CQ$89,21,)</f>
        <v>0</v>
      </c>
      <c r="J35" s="172">
        <f>HLOOKUP($A35,CHARMS!$A$6:$CQ$89,22,)</f>
        <v>0</v>
      </c>
      <c r="K35" s="172">
        <f>HLOOKUP($A35,CHARMS!$A$6:$CQ$89,23,)</f>
        <v>0</v>
      </c>
      <c r="L35" s="124"/>
      <c r="M35" s="124"/>
      <c r="N35" s="124"/>
      <c r="O35" s="124"/>
      <c r="P35" s="124"/>
      <c r="Q35" s="124"/>
      <c r="R35" s="124"/>
      <c r="S35" s="124"/>
      <c r="T35" s="124"/>
    </row>
  </sheetData>
  <sheetProtection password="8015" sheet="1" objects="1" scenarios="1"/>
  <mergeCells count="7">
    <mergeCell ref="B3:K3"/>
    <mergeCell ref="G4:K4"/>
    <mergeCell ref="B4:B5"/>
    <mergeCell ref="F4:F5"/>
    <mergeCell ref="C4:C5"/>
    <mergeCell ref="E4:E5"/>
    <mergeCell ref="D4:D5"/>
  </mergeCells>
  <phoneticPr fontId="5" type="noConversion"/>
  <conditionalFormatting sqref="B6:K35">
    <cfRule type="cellIs" dxfId="162" priority="1" operator="equal">
      <formula>0</formula>
    </cfRule>
    <cfRule type="expression" dxfId="161" priority="4">
      <formula>$A6=""</formula>
    </cfRule>
  </conditionalFormatting>
  <conditionalFormatting sqref="B6:K6">
    <cfRule type="expression" dxfId="160" priority="2">
      <formula>$A$6=""</formula>
    </cfRule>
  </conditionalFormatting>
  <conditionalFormatting sqref="B7:K35">
    <cfRule type="expression" dxfId="159" priority="3">
      <formula>$A7&lt;&gt;""</formula>
    </cfRule>
  </conditionalFormatting>
  <pageMargins left="0.7" right="0.7" top="0.75" bottom="0.75" header="0.3" footer="0.3"/>
  <pageSetup paperSize="9"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211A3-CC87-434E-AC7E-7F0195EEF447}">
  <sheetPr codeName="Hoja6">
    <tabColor theme="9" tint="-0.499984740745262"/>
  </sheetPr>
  <dimension ref="A1:W80"/>
  <sheetViews>
    <sheetView topLeftCell="B1" zoomScaleNormal="100" workbookViewId="0">
      <selection activeCell="M4" sqref="M4:M5"/>
    </sheetView>
  </sheetViews>
  <sheetFormatPr baseColWidth="10" defaultColWidth="11.42578125" defaultRowHeight="15" x14ac:dyDescent="0.25"/>
  <cols>
    <col min="1" max="1" width="11.42578125" style="131" hidden="1" customWidth="1"/>
    <col min="2" max="2" width="25.7109375" style="131" customWidth="1"/>
    <col min="3" max="3" width="17.140625" style="131" customWidth="1"/>
    <col min="4" max="4" width="8.5703125" style="131" customWidth="1"/>
    <col min="5" max="5" width="11.42578125" style="131"/>
    <col min="6" max="8" width="8.5703125" style="131" customWidth="1"/>
    <col min="9" max="11" width="25.5703125" style="131" customWidth="1"/>
    <col min="12" max="12" width="28.5703125" style="131" customWidth="1"/>
    <col min="13" max="13" width="31.42578125" style="131" customWidth="1"/>
    <col min="14" max="18" width="5.7109375" style="131" customWidth="1"/>
    <col min="19" max="23" width="11.42578125" style="122"/>
    <col min="24" max="16384" width="11.42578125" style="131"/>
  </cols>
  <sheetData>
    <row r="1" spans="1:23" s="122" customFormat="1" x14ac:dyDescent="0.25">
      <c r="R1" s="123"/>
    </row>
    <row r="2" spans="1:23" s="122" customFormat="1" x14ac:dyDescent="0.25">
      <c r="R2" s="123"/>
    </row>
    <row r="3" spans="1:23" s="125" customFormat="1" ht="15.75" thickBot="1" x14ac:dyDescent="0.3">
      <c r="B3" s="358" t="s">
        <v>377</v>
      </c>
      <c r="C3" s="359"/>
      <c r="D3" s="359"/>
      <c r="E3" s="359"/>
      <c r="F3" s="359"/>
      <c r="G3" s="359"/>
      <c r="H3" s="359"/>
      <c r="I3" s="359"/>
      <c r="J3" s="359"/>
      <c r="K3" s="359"/>
      <c r="L3" s="359"/>
      <c r="M3" s="359"/>
      <c r="N3" s="359"/>
      <c r="O3" s="359"/>
      <c r="P3" s="359"/>
      <c r="Q3" s="359"/>
      <c r="R3" s="360"/>
      <c r="S3" s="122"/>
      <c r="T3" s="122"/>
      <c r="U3" s="122"/>
      <c r="V3" s="122"/>
      <c r="W3" s="122"/>
    </row>
    <row r="4" spans="1:23" ht="22.5" customHeight="1" thickBot="1" x14ac:dyDescent="0.3">
      <c r="B4" s="362" t="s">
        <v>372</v>
      </c>
      <c r="C4" s="362" t="s">
        <v>378</v>
      </c>
      <c r="D4" s="362" t="s">
        <v>379</v>
      </c>
      <c r="E4" s="132" t="s">
        <v>380</v>
      </c>
      <c r="F4" s="362" t="s">
        <v>381</v>
      </c>
      <c r="G4" s="362"/>
      <c r="H4" s="362" t="s">
        <v>382</v>
      </c>
      <c r="I4" s="362" t="s">
        <v>383</v>
      </c>
      <c r="J4" s="362" t="s">
        <v>384</v>
      </c>
      <c r="K4" s="362" t="s">
        <v>385</v>
      </c>
      <c r="L4" s="362" t="s">
        <v>386</v>
      </c>
      <c r="M4" s="362" t="s">
        <v>361</v>
      </c>
      <c r="N4" s="133"/>
      <c r="O4" s="380" t="s">
        <v>387</v>
      </c>
      <c r="P4" s="380"/>
      <c r="Q4" s="380"/>
      <c r="R4" s="380"/>
    </row>
    <row r="5" spans="1:23" ht="15" customHeight="1" thickBot="1" x14ac:dyDescent="0.3">
      <c r="B5" s="379"/>
      <c r="C5" s="379"/>
      <c r="D5" s="379"/>
      <c r="E5" s="134" t="s">
        <v>140</v>
      </c>
      <c r="F5" s="134" t="s">
        <v>388</v>
      </c>
      <c r="G5" s="134" t="s">
        <v>389</v>
      </c>
      <c r="H5" s="379"/>
      <c r="I5" s="379"/>
      <c r="J5" s="379"/>
      <c r="K5" s="379"/>
      <c r="L5" s="379"/>
      <c r="M5" s="379"/>
      <c r="N5" s="134"/>
      <c r="O5" s="135" t="s">
        <v>390</v>
      </c>
      <c r="P5" s="135" t="s">
        <v>391</v>
      </c>
      <c r="Q5" s="135" t="s">
        <v>392</v>
      </c>
      <c r="R5" s="135" t="s">
        <v>393</v>
      </c>
    </row>
    <row r="6" spans="1:23" s="140" customFormat="1" ht="22.5" customHeight="1" x14ac:dyDescent="0.25">
      <c r="A6" s="370" t="str">
        <f>CHARMS!F$6</f>
        <v>Gaca, 2011</v>
      </c>
      <c r="B6" s="372" t="str">
        <f>HLOOKUP($A6,CHARMS!$A$6:$CQ$89,1,)</f>
        <v>Gaca, 2011</v>
      </c>
      <c r="C6" s="365" t="str">
        <f>IF($A6="","",HLOOKUP($A6,CHARMS!$A$6:$CQ$89,48,))</f>
        <v>Logistic GEE regression</v>
      </c>
      <c r="D6" s="374">
        <f>IF($A6="","",IF(HLOOKUP($A6,CHARMS!$A$6:$CQ$89,40,)=0,"Unkown",HLOOKUP($A6,CHARMS!$A$6:$CQ$89,40,)))</f>
        <v>13617</v>
      </c>
      <c r="E6" s="365" t="str">
        <f>IF($A6="","",IF(HLOOKUP($A6,CHARMS!$A$6:$CQ$89,40,)=0,"Unkown",CONCATENATE(HLOOKUP($A6,CHARMS!$A$6:$CQ$89,41,)," (",FIXED((HLOOKUP($A6,CHARMS!$A$6:$CQ$89,41,)/HLOOKUP($A6,CHARMS!$A$6:$CQ$89,40,))*100,1),")")))</f>
        <v>1117 (8.2)</v>
      </c>
      <c r="F6" s="365">
        <f>IF($A6="","",IF(HLOOKUP($A6,CHARMS!$A$6:$CQ$89,33,)=0,"Unkown",HLOOKUP($A6,CHARMS!$A$6:$CQ$89,33,)))</f>
        <v>38</v>
      </c>
      <c r="G6" s="365">
        <f>IF($A6="","",HLOOKUP($A6,CHARMS!$A$6:$CQ$89,79,))</f>
        <v>13</v>
      </c>
      <c r="H6" s="368">
        <f>IF($A6="","",HLOOKUP($A6,CHARMS!$A$6:$CQ$89,43,))</f>
        <v>29.394736842105264</v>
      </c>
      <c r="I6" s="365" t="str">
        <f>IF($A6="","",HLOOKUP($A6,CHARMS!$A$6:$CQ$89,49,))</f>
        <v>Based on univariable associations</v>
      </c>
      <c r="J6" s="365" t="str">
        <f>IF($A6="","",HLOOKUP($A6,CHARMS!$A$6:$CQ$89,50,))</f>
        <v>No information</v>
      </c>
      <c r="K6" s="365" t="str">
        <f>CONCATENATE(IF($A6="","",IF(OR(HLOOKUP($A6,CHARMS!$A$6:$CQ$89,40,)=0,ISTEXT(HLOOKUP($A6,CHARMS!$A$6:$CQ$89,45,))),"n (%): Unkown",CONCATENATE("n (%): ",HLOOKUP($A6,CHARMS!$A$6:$CQ$89,45,)," (",FIXED((HLOOKUP($A6,CHARMS!$A$6:$CQ$89,45,)/HLOOKUP($A6,CHARMS!$A$6:$CQ$89,40,))*100,1),")"))),CHAR(10),IF($A6="","",CONCATENATE("Method: ",HLOOKUP($A6,CHARMS!$A$6:$CQ$89,46,))))</f>
        <v>n (%): 98 (0.7)
Method: No information</v>
      </c>
      <c r="L6" s="368" t="str">
        <f>IF($A6="","",CONCATENATE("Int: ",HLOOKUP($A6,CHARMS!$A$6:$CQ$89,75,),CHAR(10),"Ext : ",HLOOKUP($A6,CHARMS!$A$6:$CQ$89,76,)))</f>
        <v>Int: Random split data
Ext : None</v>
      </c>
      <c r="M6" s="368" t="str">
        <f>IF($A6="","",CONCATENATE("Cal: ",HLOOKUP($A6,CHARMS!$A$6:$CQ$89,53,),CHAR(10),"Disc : ",HLOOKUP($A6,CHARMS!$A$6:$CQ$89,59,),CHAR(10),"Ov: ",HLOOKUP($A6,CHARMS!$A$6:$CQ$89,66,)))</f>
        <v>Cal: Calibration plot 
Disc : C-Statistic 
Ov: Not evaluated</v>
      </c>
      <c r="N6" s="136" t="s">
        <v>62</v>
      </c>
      <c r="O6" s="137" t="str">
        <f>_xlfn.IFNA(IF(HLOOKUP($A6,PROBAST!$A$6:$AE$77,11,)="Low RoB","+",IF(HLOOKUP($A6,PROBAST!$A$6:$AE$77,11,)="High RoB","-",IF(HLOOKUP($A6,PROBAST!$A$6:$AE$77,11,)="Unclear","?",""))),"")</f>
        <v>-</v>
      </c>
      <c r="P6" s="137" t="str">
        <f>_xlfn.IFNA(IF(HLOOKUP($A6,PROBAST!$A$6:$AE$77,25,)="Low RoB","+",IF(HLOOKUP($A6,PROBAST!$A$6:$AE$77,25,)="High RoB","-",IF(HLOOKUP($A6,PROBAST!$A$6:$AE$77,25,)="Unclear","?",""))),"")</f>
        <v>+</v>
      </c>
      <c r="Q6" s="137" t="str">
        <f>_xlfn.IFNA(IF(HLOOKUP($A6,PROBAST!$A$6:$AE$77,39,)="Low RoB","+",IF(HLOOKUP($A6,PROBAST!$A$6:$AE$77,39,)="High RoB","-",IF(HLOOKUP($A6,PROBAST!$A$6:$AE$77,39,)="Unclear","?",""))),"")</f>
        <v>+</v>
      </c>
      <c r="R6" s="138" t="str">
        <f>_xlfn.IFNA(IF(HLOOKUP($A6,PROBAST!$A$6:$AE$77,58,)="Low RoB","+",IF(HLOOKUP($A6,PROBAST!$A$6:$AE$77,58,)="High RoB","-",IF(HLOOKUP($A6,PROBAST!$A$6:$AE$77,58,)="Unclear","?",""))),"")</f>
        <v>-</v>
      </c>
      <c r="S6" s="139"/>
      <c r="T6" s="139"/>
      <c r="U6" s="139"/>
      <c r="V6" s="139"/>
      <c r="W6" s="139"/>
    </row>
    <row r="7" spans="1:23" ht="22.5" customHeight="1" thickBot="1" x14ac:dyDescent="0.3">
      <c r="A7" s="370"/>
      <c r="B7" s="377"/>
      <c r="C7" s="367"/>
      <c r="D7" s="378"/>
      <c r="E7" s="367"/>
      <c r="F7" s="367"/>
      <c r="G7" s="367"/>
      <c r="H7" s="376"/>
      <c r="I7" s="367"/>
      <c r="J7" s="367"/>
      <c r="K7" s="366"/>
      <c r="L7" s="376"/>
      <c r="M7" s="376"/>
      <c r="N7" s="141" t="s">
        <v>61</v>
      </c>
      <c r="O7" s="142" t="str">
        <f>_xlfn.IFNA(IF(HLOOKUP($A6,PROBAST!$A$6:$AE$77,12,)="Low concern","+",IF(HLOOKUP($A7,PROBAST!$A$6:$AE$77,12,)="High concern","-",IF(HLOOKUP($A6,PROBAST!$A$6:$AE$77,12,)="Unclear","?",""))),"")</f>
        <v>+</v>
      </c>
      <c r="P7" s="142" t="str">
        <f>_xlfn.IFNA(IF(HLOOKUP($A6,PROBAST!$A$6:$AE$77,26,)="Low concern","+",IF(HLOOKUP($A6,PROBAST!$A$6:$AE$77,26,)="High concern","-",IF(HLOOKUP($A6,PROBAST!$A$6:$AE$77,26,)="Unclear","?",""))),"")</f>
        <v>+</v>
      </c>
      <c r="Q7" s="142" t="str">
        <f>_xlfn.IFNA(IF(HLOOKUP($A6,PROBAST!$A$6:$AE$77,40,)="Low concern","+",IF(HLOOKUP($A6,PROBAST!$A$6:$AE$77,40,)="High concern","-",IF(HLOOKUP($A6,PROBAST!$A$6:$AE$77,40,)="Unclear","?",""))),"")</f>
        <v>+</v>
      </c>
      <c r="R7" s="143"/>
    </row>
    <row r="8" spans="1:23" s="140" customFormat="1" ht="22.5" customHeight="1" x14ac:dyDescent="0.25">
      <c r="A8" s="370" t="str">
        <f>CHARMS!I$6</f>
        <v>De Feo, 2012</v>
      </c>
      <c r="B8" s="372" t="str">
        <f>HLOOKUP($A8,CHARMS!$A$6:$CQ$89,1,)</f>
        <v>De Feo, 2012</v>
      </c>
      <c r="C8" s="365" t="str">
        <f>IF($A8="","",HLOOKUP($A8,CHARMS!$A$6:$CQ$89,48,))</f>
        <v>Logistic regression</v>
      </c>
      <c r="D8" s="374">
        <f>IF($A8="","",IF(HLOOKUP($A8,CHARMS!$A$6:$CQ$89,40,)=0,"Unkown",HLOOKUP($A8,CHARMS!$A$6:$CQ$89,40,)))</f>
        <v>440</v>
      </c>
      <c r="E8" s="365" t="str">
        <f>IF($A8="","",IF(HLOOKUP($A8,CHARMS!$A$6:$CQ$89,40,)=0,"Unkown",CONCATENATE(HLOOKUP($A8,CHARMS!$A$6:$CQ$89,41,)," (",FIXED((HLOOKUP($A8,CHARMS!$A$6:$CQ$89,41,)/HLOOKUP($A8,CHARMS!$A$6:$CQ$89,40,))*100,1),")")))</f>
        <v>40 (9.1)</v>
      </c>
      <c r="F8" s="365">
        <f>IF($A8="","",IF(HLOOKUP($A8,CHARMS!$A$6:$CQ$89,33,)=0,"Unkown",HLOOKUP($A8,CHARMS!$A$6:$CQ$89,33,)))</f>
        <v>19</v>
      </c>
      <c r="G8" s="365">
        <f>IF($A8="","",HLOOKUP($A8,CHARMS!$A$6:$CQ$89,79,))</f>
        <v>6</v>
      </c>
      <c r="H8" s="368">
        <f>IF($A8="","",HLOOKUP($A8,CHARMS!$A$6:$CQ$89,43,))</f>
        <v>2.1052631578947367</v>
      </c>
      <c r="I8" s="365" t="str">
        <f>IF($A8="","",HLOOKUP($A8,CHARMS!$A$6:$CQ$89,49,))</f>
        <v>Based on univariable associations</v>
      </c>
      <c r="J8" s="365" t="str">
        <f>IF($A8="","",HLOOKUP($A8,CHARMS!$A$6:$CQ$89,50,))</f>
        <v>No information</v>
      </c>
      <c r="K8" s="365" t="str">
        <f>CONCATENATE(IF($A8="","",IF(OR(HLOOKUP($A8,CHARMS!$A$6:$CQ$89,40,)=0,ISTEXT(HLOOKUP($A8,CHARMS!$A$6:$CQ$89,45,))),"n (%): Unkown",CONCATENATE("n (%): ",HLOOKUP($A8,CHARMS!$A$6:$CQ$89,45,)," (",FIXED((HLOOKUP($A8,CHARMS!$A$6:$CQ$89,45,)/HLOOKUP($A8,CHARMS!$A$6:$CQ$89,40,))*100,1),")"))),CHAR(10),IF($A8="","",CONCATENATE("Method: ",HLOOKUP($A8,CHARMS!$A$6:$CQ$89,46,))))</f>
        <v>n (%): 22 (5.0)
Method: No information</v>
      </c>
      <c r="L8" s="368" t="str">
        <f>IF($A8="","",CONCATENATE("Int: ",HLOOKUP($A8,CHARMS!$A$6:$CQ$89,75,),CHAR(10),"Ext : ",HLOOKUP($A8,CHARMS!$A$6:$CQ$89,76,)))</f>
        <v>Int: None (Apparent performance)
Ext : None</v>
      </c>
      <c r="M8" s="368" t="str">
        <f>IF($A8="","",CONCATENATE("Cal: ",HLOOKUP($A8,CHARMS!$A$6:$CQ$89,53,),CHAR(10),"Disc : ",HLOOKUP($A8,CHARMS!$A$6:$CQ$89,59,),CHAR(10),"Ov: ",HLOOKUP($A8,CHARMS!$A$6:$CQ$89,66,)))</f>
        <v>Cal: HL test 
Disc : C-Statistic / AUC graph 
Ov: Not evaluated</v>
      </c>
      <c r="N8" s="136" t="s">
        <v>62</v>
      </c>
      <c r="O8" s="137" t="str">
        <f>_xlfn.IFNA(IF(HLOOKUP($A8,PROBAST!$A$6:$AE$77,11,)="Low RoB","+",IF(HLOOKUP($A8,PROBAST!$A$6:$AE$77,11,)="High RoB","-",IF(HLOOKUP($A8,PROBAST!$A$6:$AE$77,11,)="Unclear","?",""))),"")</f>
        <v>-</v>
      </c>
      <c r="P8" s="137" t="str">
        <f>_xlfn.IFNA(IF(HLOOKUP($A8,PROBAST!$A$6:$AE$77,25,)="Low RoB","+",IF(HLOOKUP($A8,PROBAST!$A$6:$AE$77,25,)="High RoB","-",IF(HLOOKUP($A8,PROBAST!$A$6:$AE$77,25,)="Unclear","?",""))),"")</f>
        <v>?</v>
      </c>
      <c r="Q8" s="137" t="str">
        <f>_xlfn.IFNA(IF(HLOOKUP($A8,PROBAST!$A$6:$AE$77,39,)="Low RoB","+",IF(HLOOKUP($A8,PROBAST!$A$6:$AE$77,39,)="High RoB","-",IF(HLOOKUP($A8,PROBAST!$A$6:$AE$77,39,)="Unclear","?",""))),"")</f>
        <v>+</v>
      </c>
      <c r="R8" s="138" t="str">
        <f>_xlfn.IFNA(IF(HLOOKUP($A8,PROBAST!$A$6:$AE$77,58,)="Low RoB","+",IF(HLOOKUP($A8,PROBAST!$A$6:$AE$77,58,)="High RoB","-",IF(HLOOKUP($A8,PROBAST!$A$6:$AE$77,58,)="Unclear","?",""))),"")</f>
        <v>-</v>
      </c>
      <c r="S8" s="139"/>
      <c r="T8" s="139"/>
      <c r="U8" s="139"/>
      <c r="V8" s="139"/>
      <c r="W8" s="139"/>
    </row>
    <row r="9" spans="1:23" ht="22.5" customHeight="1" thickBot="1" x14ac:dyDescent="0.3">
      <c r="A9" s="370"/>
      <c r="B9" s="377"/>
      <c r="C9" s="367"/>
      <c r="D9" s="378"/>
      <c r="E9" s="367"/>
      <c r="F9" s="367"/>
      <c r="G9" s="367"/>
      <c r="H9" s="376"/>
      <c r="I9" s="367"/>
      <c r="J9" s="367"/>
      <c r="K9" s="366"/>
      <c r="L9" s="376"/>
      <c r="M9" s="376"/>
      <c r="N9" s="141" t="s">
        <v>61</v>
      </c>
      <c r="O9" s="142" t="str">
        <f>_xlfn.IFNA(IF(HLOOKUP($A8,PROBAST!$A$6:$AE$77,12,)="Low concern","+",IF(HLOOKUP($A8,PROBAST!$A$6:$AE$77,12,)="High concern","-",IF(HLOOKUP($A8,PROBAST!$A$6:$AE$77,12,)="Unclear","?",""))),"")</f>
        <v>-</v>
      </c>
      <c r="P9" s="142" t="str">
        <f>_xlfn.IFNA(IF(HLOOKUP($A8,PROBAST!$A$6:$AE$77,26,)="Low concern","+",IF(HLOOKUP($A8,PROBAST!$A$6:$AE$77,26,)="High concern","-",IF(HLOOKUP($A8,PROBAST!$A$6:$AE$77,26,)="Unclear","?",""))),"")</f>
        <v>+</v>
      </c>
      <c r="Q9" s="142" t="str">
        <f>_xlfn.IFNA(IF(HLOOKUP($A8,PROBAST!$A$6:$AE$77,40,)="Low concern","+",IF(HLOOKUP($A8,PROBAST!$A$6:$AE$77,40,)="High concern","-",IF(HLOOKUP($A8,PROBAST!$A$6:$AE$77,40,)="Unclear","?",""))),"")</f>
        <v>+</v>
      </c>
      <c r="R9" s="143"/>
    </row>
    <row r="10" spans="1:23" s="140" customFormat="1" ht="22.5" customHeight="1" x14ac:dyDescent="0.25">
      <c r="A10" s="370" t="str">
        <f>CHARMS!L$6</f>
        <v>Martínez-Sellés, 2014</v>
      </c>
      <c r="B10" s="372" t="str">
        <f>HLOOKUP($A10,CHARMS!$A$6:$CQ$89,1,)</f>
        <v>Martínez-Sellés, 2014</v>
      </c>
      <c r="C10" s="365" t="str">
        <f>IF($A10="","",HLOOKUP($A10,CHARMS!$A$6:$CQ$89,48,))</f>
        <v>Logistic regression</v>
      </c>
      <c r="D10" s="374">
        <f>IF($A10="","",IF(HLOOKUP($A10,CHARMS!$A$6:$CQ$89,40,)=0,"Unkown",HLOOKUP($A10,CHARMS!$A$6:$CQ$89,40,)))</f>
        <v>437</v>
      </c>
      <c r="E10" s="365" t="str">
        <f>IF($A10="","",IF(HLOOKUP($A10,CHARMS!$A$6:$CQ$89,40,)=0,"Unkown",CONCATENATE(HLOOKUP($A10,CHARMS!$A$6:$CQ$89,41,)," (",FIXED((HLOOKUP($A10,CHARMS!$A$6:$CQ$89,41,)/HLOOKUP($A10,CHARMS!$A$6:$CQ$89,40,))*100,1),")")))</f>
        <v>106 (24.3)</v>
      </c>
      <c r="F10" s="365" t="str">
        <f>IF($A10="","",IF(HLOOKUP($A10,CHARMS!$A$6:$CQ$89,33,)=0,"Unkown",HLOOKUP($A10,CHARMS!$A$6:$CQ$89,33,)))</f>
        <v>Unkown</v>
      </c>
      <c r="G10" s="365">
        <f>IF($A10="","",HLOOKUP($A10,CHARMS!$A$6:$CQ$89,79,))</f>
        <v>7</v>
      </c>
      <c r="H10" s="368" t="str">
        <f>IF($A10="","",HLOOKUP($A10,CHARMS!$A$6:$CQ$89,43,))</f>
        <v>Unknown</v>
      </c>
      <c r="I10" s="365" t="str">
        <f>IF($A10="","",HLOOKUP($A10,CHARMS!$A$6:$CQ$89,49,))</f>
        <v>Based on univariable associations</v>
      </c>
      <c r="J10" s="365" t="str">
        <f>IF($A10="","",HLOOKUP($A10,CHARMS!$A$6:$CQ$89,50,))</f>
        <v>Stepwise selection</v>
      </c>
      <c r="K10" s="365" t="str">
        <f>CONCATENATE(IF($A10="","",IF(OR(HLOOKUP($A10,CHARMS!$A$6:$CQ$89,40,)=0,ISTEXT(HLOOKUP($A10,CHARMS!$A$6:$CQ$89,45,))),"n (%): Unkown",CONCATENATE("n (%): ",HLOOKUP($A10,CHARMS!$A$6:$CQ$89,45,)," (",FIXED((HLOOKUP($A10,CHARMS!$A$6:$CQ$89,45,)/HLOOKUP($A10,CHARMS!$A$6:$CQ$89,40,))*100,1),")"))),CHAR(10),IF($A10="","",CONCATENATE("Method: ",HLOOKUP($A10,CHARMS!$A$6:$CQ$89,46,))))</f>
        <v>n (%): Unkown
Method: No information</v>
      </c>
      <c r="L10" s="368" t="str">
        <f>IF($A10="","",CONCATENATE("Int: ",HLOOKUP($A10,CHARMS!$A$6:$CQ$89,75,),CHAR(10),"Ext : ",HLOOKUP($A10,CHARMS!$A$6:$CQ$89,76,)))</f>
        <v>Int: None (Apparent performance)
Ext : None</v>
      </c>
      <c r="M10" s="368" t="str">
        <f>IF($A10="","",CONCATENATE("Cal: ",HLOOKUP($A10,CHARMS!$A$6:$CQ$89,53,),CHAR(10),"Disc : ",HLOOKUP($A10,CHARMS!$A$6:$CQ$89,59,),CHAR(10),"Ov: ",HLOOKUP($A10,CHARMS!$A$6:$CQ$89,66,)))</f>
        <v>Cal: HL test 
Disc : C-Statistic / AUC graph 
Ov: Not evaluated</v>
      </c>
      <c r="N10" s="136" t="s">
        <v>62</v>
      </c>
      <c r="O10" s="137" t="str">
        <f>_xlfn.IFNA(IF(HLOOKUP($A10,PROBAST!$A$6:$AE$77,11,)="Low RoB","+",IF(HLOOKUP($A10,PROBAST!$A$6:$AE$77,11,)="High RoB","-",IF(HLOOKUP($A10,PROBAST!$A$6:$AE$77,11,)="Unclear","?",""))),"")</f>
        <v>+</v>
      </c>
      <c r="P10" s="137" t="str">
        <f>_xlfn.IFNA(IF(HLOOKUP($A10,PROBAST!$A$6:$AE$77,25,)="Low RoB","+",IF(HLOOKUP($A10,PROBAST!$A$6:$AE$77,25,)="High RoB","-",IF(HLOOKUP($A10,PROBAST!$A$6:$AE$77,25,)="Unclear","?",""))),"")</f>
        <v>+</v>
      </c>
      <c r="Q10" s="137" t="str">
        <f>_xlfn.IFNA(IF(HLOOKUP($A10,PROBAST!$A$6:$AE$77,39,)="Low RoB","+",IF(HLOOKUP($A10,PROBAST!$A$6:$AE$77,39,)="High RoB","-",IF(HLOOKUP($A10,PROBAST!$A$6:$AE$77,39,)="Unclear","?",""))),"")</f>
        <v>+</v>
      </c>
      <c r="R10" s="138" t="str">
        <f>_xlfn.IFNA(IF(HLOOKUP($A10,PROBAST!$A$6:$AE$77,58,)="Low RoB","+",IF(HLOOKUP($A10,PROBAST!$A$6:$AE$77,58,)="High RoB","-",IF(HLOOKUP($A10,PROBAST!$A$6:$AE$77,58,)="Unclear","?",""))),"")</f>
        <v>-</v>
      </c>
      <c r="S10" s="139"/>
      <c r="T10" s="139"/>
      <c r="U10" s="139"/>
      <c r="V10" s="139"/>
      <c r="W10" s="139"/>
    </row>
    <row r="11" spans="1:23" ht="22.5" customHeight="1" thickBot="1" x14ac:dyDescent="0.3">
      <c r="A11" s="370"/>
      <c r="B11" s="377"/>
      <c r="C11" s="367"/>
      <c r="D11" s="378"/>
      <c r="E11" s="367"/>
      <c r="F11" s="367"/>
      <c r="G11" s="367"/>
      <c r="H11" s="376"/>
      <c r="I11" s="367"/>
      <c r="J11" s="367"/>
      <c r="K11" s="366"/>
      <c r="L11" s="376"/>
      <c r="M11" s="376"/>
      <c r="N11" s="141" t="s">
        <v>61</v>
      </c>
      <c r="O11" s="142" t="str">
        <f>_xlfn.IFNA(IF(HLOOKUP($A10,PROBAST!$A$6:$AE$77,12,)="Low concern","+",IF(HLOOKUP($A10,PROBAST!$A$6:$AE$77,12,)="High concern","-",IF(HLOOKUP($A10,PROBAST!$A$6:$AE$77,12,)="Unclear","?",""))),"")</f>
        <v>+</v>
      </c>
      <c r="P11" s="142" t="str">
        <f>_xlfn.IFNA(IF(HLOOKUP($A10,PROBAST!$A$6:$AE$77,26,)="Low concern","+",IF(HLOOKUP($A10,PROBAST!$A$6:$AE$77,26,)="High concern","-",IF(HLOOKUP($A10,PROBAST!$A$6:$AE$77,26,)="Unclear","?",""))),"")</f>
        <v>+</v>
      </c>
      <c r="Q11" s="142" t="str">
        <f>_xlfn.IFNA(IF(HLOOKUP($A10,PROBAST!$A$6:$AE$77,40,)="Low concern","+",IF(HLOOKUP($A10,PROBAST!$A$6:$AE$77,40,)="High concern","-",IF(HLOOKUP($A10,PROBAST!$A$6:$AE$77,40,)="Unclear","?",""))),"")</f>
        <v>+</v>
      </c>
      <c r="R11" s="143"/>
    </row>
    <row r="12" spans="1:23" s="140" customFormat="1" ht="22.5" customHeight="1" x14ac:dyDescent="0.25">
      <c r="A12" s="370" t="str">
        <f>CHARMS!O$6</f>
        <v>Madeira, 2016</v>
      </c>
      <c r="B12" s="372" t="str">
        <f>HLOOKUP($A12,CHARMS!$A$6:$CQ$89,1,)</f>
        <v>Madeira, 2016</v>
      </c>
      <c r="C12" s="365" t="str">
        <f>IF($A12="","",HLOOKUP($A12,CHARMS!$A$6:$CQ$89,48,))</f>
        <v>Logistic regression</v>
      </c>
      <c r="D12" s="374">
        <f>IF($A12="","",IF(HLOOKUP($A12,CHARMS!$A$6:$CQ$89,40,)=0,"Unkown",HLOOKUP($A12,CHARMS!$A$6:$CQ$89,40,)))</f>
        <v>128</v>
      </c>
      <c r="E12" s="365" t="str">
        <f>IF($A12="","",IF(HLOOKUP($A12,CHARMS!$A$6:$CQ$89,40,)=0,"Unkown",CONCATENATE(HLOOKUP($A12,CHARMS!$A$6:$CQ$89,41,)," (",FIXED((HLOOKUP($A12,CHARMS!$A$6:$CQ$89,41,)/HLOOKUP($A12,CHARMS!$A$6:$CQ$89,40,))*100,1),")")))</f>
        <v>21 (16.4)</v>
      </c>
      <c r="F12" s="365">
        <f>IF($A12="","",IF(HLOOKUP($A12,CHARMS!$A$6:$CQ$89,33,)=0,"Unkown",HLOOKUP($A12,CHARMS!$A$6:$CQ$89,33,)))</f>
        <v>15</v>
      </c>
      <c r="G12" s="365">
        <f>IF($A12="","",HLOOKUP($A12,CHARMS!$A$6:$CQ$89,79,))</f>
        <v>2</v>
      </c>
      <c r="H12" s="368">
        <f>IF($A12="","",HLOOKUP($A12,CHARMS!$A$6:$CQ$89,43,))</f>
        <v>1.4</v>
      </c>
      <c r="I12" s="365" t="str">
        <f>IF($A12="","",HLOOKUP($A12,CHARMS!$A$6:$CQ$89,49,))</f>
        <v>Based on univariable associations</v>
      </c>
      <c r="J12" s="365" t="str">
        <f>IF($A12="","",HLOOKUP($A12,CHARMS!$A$6:$CQ$89,50,))</f>
        <v>No information</v>
      </c>
      <c r="K12" s="365" t="str">
        <f>CONCATENATE(IF($A12="","",IF(OR(HLOOKUP($A12,CHARMS!$A$6:$CQ$89,40,)=0,ISTEXT(HLOOKUP($A12,CHARMS!$A$6:$CQ$89,45,))),"n (%): Unkown",CONCATENATE("n (%): ",HLOOKUP($A12,CHARMS!$A$6:$CQ$89,45,)," (",FIXED((HLOOKUP($A12,CHARMS!$A$6:$CQ$89,45,)/HLOOKUP($A12,CHARMS!$A$6:$CQ$89,40,))*100,1),")"))),CHAR(10),IF($A12="","",CONCATENATE("Method: ",HLOOKUP($A12,CHARMS!$A$6:$CQ$89,46,))))</f>
        <v>n (%): Unkown
Method: No information</v>
      </c>
      <c r="L12" s="368" t="str">
        <f>IF($A12="","",CONCATENATE("Int: ",HLOOKUP($A12,CHARMS!$A$6:$CQ$89,75,),CHAR(10),"Ext : ",HLOOKUP($A12,CHARMS!$A$6:$CQ$89,76,)))</f>
        <v>Int: None (Apparent performance)
Ext : None</v>
      </c>
      <c r="M12" s="368" t="str">
        <f>IF($A12="","",CONCATENATE("Cal: ",HLOOKUP($A12,CHARMS!$A$6:$CQ$89,53,),CHAR(10),"Disc : ",HLOOKUP($A12,CHARMS!$A$6:$CQ$89,59,),CHAR(10),"Ov: ",HLOOKUP($A12,CHARMS!$A$6:$CQ$89,66,)))</f>
        <v xml:space="preserve">Cal: Calibration plot / Slope / CITL / HL test 
Disc : C-Statistic / AUC graph 
Ov: Brier score </v>
      </c>
      <c r="N12" s="136" t="s">
        <v>62</v>
      </c>
      <c r="O12" s="137" t="str">
        <f>_xlfn.IFNA(IF(HLOOKUP($A12,PROBAST!$A$6:$AE$77,11,)="Low RoB","+",IF(HLOOKUP($A12,PROBAST!$A$6:$AE$77,11,)="High RoB","-",IF(HLOOKUP($A12,PROBAST!$A$6:$AE$77,11,)="Unclear","?",""))),"")</f>
        <v>?</v>
      </c>
      <c r="P12" s="137" t="str">
        <f>_xlfn.IFNA(IF(HLOOKUP($A12,PROBAST!$A$6:$AE$77,25,)="Low RoB","+",IF(HLOOKUP($A12,PROBAST!$A$6:$AE$77,25,)="High RoB","-",IF(HLOOKUP($A12,PROBAST!$A$6:$AE$77,25,)="Unclear","?",""))),"")</f>
        <v>+</v>
      </c>
      <c r="Q12" s="137" t="str">
        <f>_xlfn.IFNA(IF(HLOOKUP($A12,PROBAST!$A$6:$AE$77,39,)="Low RoB","+",IF(HLOOKUP($A12,PROBAST!$A$6:$AE$77,39,)="High RoB","-",IF(HLOOKUP($A12,PROBAST!$A$6:$AE$77,39,)="Unclear","?",""))),"")</f>
        <v>+</v>
      </c>
      <c r="R12" s="138" t="str">
        <f>_xlfn.IFNA(IF(HLOOKUP($A12,PROBAST!$A$6:$AE$77,58,)="Low RoB","+",IF(HLOOKUP($A12,PROBAST!$A$6:$AE$77,58,)="High RoB","-",IF(HLOOKUP($A12,PROBAST!$A$6:$AE$77,58,)="Unclear","?",""))),"")</f>
        <v>-</v>
      </c>
      <c r="S12" s="139"/>
      <c r="T12" s="139"/>
      <c r="U12" s="139"/>
      <c r="V12" s="139"/>
      <c r="W12" s="139"/>
    </row>
    <row r="13" spans="1:23" ht="22.5" customHeight="1" thickBot="1" x14ac:dyDescent="0.3">
      <c r="A13" s="370"/>
      <c r="B13" s="377"/>
      <c r="C13" s="367"/>
      <c r="D13" s="378"/>
      <c r="E13" s="367"/>
      <c r="F13" s="367"/>
      <c r="G13" s="367"/>
      <c r="H13" s="376"/>
      <c r="I13" s="367"/>
      <c r="J13" s="367"/>
      <c r="K13" s="366"/>
      <c r="L13" s="376"/>
      <c r="M13" s="376"/>
      <c r="N13" s="141" t="s">
        <v>61</v>
      </c>
      <c r="O13" s="142" t="str">
        <f>_xlfn.IFNA(IF(HLOOKUP($A12,PROBAST!$A$6:$AE$77,12,)="Low concern","+",IF(HLOOKUP($A12,PROBAST!$A$6:$AE$77,12,)="High concern","-",IF(HLOOKUP($A12,PROBAST!$A$6:$AE$77,12,)="Unclear","?",""))),"")</f>
        <v>?</v>
      </c>
      <c r="P13" s="142" t="str">
        <f>_xlfn.IFNA(IF(HLOOKUP($A12,PROBAST!$A$6:$AE$77,26,)="Low concern","+",IF(HLOOKUP($A12,PROBAST!$A$6:$AE$77,26,)="High concern","-",IF(HLOOKUP($A12,PROBAST!$A$6:$AE$77,26,)="Unclear","?",""))),"")</f>
        <v>+</v>
      </c>
      <c r="Q13" s="142" t="str">
        <f>_xlfn.IFNA(IF(HLOOKUP($A12,PROBAST!$A$6:$AE$77,40,)="Low concern","+",IF(HLOOKUP($A12,PROBAST!$A$6:$AE$77,40,)="High concern","-",IF(HLOOKUP($A12,PROBAST!$A$6:$AE$77,40,)="Unclear","?",""))),"")</f>
        <v>+</v>
      </c>
      <c r="R13" s="143"/>
      <c r="V13" s="139"/>
    </row>
    <row r="14" spans="1:23" s="140" customFormat="1" ht="22.5" customHeight="1" x14ac:dyDescent="0.25">
      <c r="A14" s="370" t="str">
        <f>CHARMS!R$6</f>
        <v>Gatti (a), 2017</v>
      </c>
      <c r="B14" s="372" t="str">
        <f>HLOOKUP($A14,CHARMS!$A$6:$CQ$89,1,)</f>
        <v>Gatti (a), 2017</v>
      </c>
      <c r="C14" s="365" t="str">
        <f>IF($A14="","",HLOOKUP($A14,CHARMS!$A$6:$CQ$89,48,))</f>
        <v>Logistic regression</v>
      </c>
      <c r="D14" s="374">
        <f>IF($A14="","",IF(HLOOKUP($A14,CHARMS!$A$6:$CQ$89,40,)=0,"Unkown",HLOOKUP($A14,CHARMS!$A$6:$CQ$89,40,)))</f>
        <v>361</v>
      </c>
      <c r="E14" s="365" t="str">
        <f>IF($A14="","",IF(HLOOKUP($A14,CHARMS!$A$6:$CQ$89,40,)=0,"Unkown",CONCATENATE(HLOOKUP($A14,CHARMS!$A$6:$CQ$89,41,)," (",FIXED((HLOOKUP($A14,CHARMS!$A$6:$CQ$89,41,)/HLOOKUP($A14,CHARMS!$A$6:$CQ$89,40,))*100,1),")")))</f>
        <v>56 (15.5)</v>
      </c>
      <c r="F14" s="365">
        <f>IF($A14="","",IF(HLOOKUP($A14,CHARMS!$A$6:$CQ$89,33,)=0,"Unkown",HLOOKUP($A14,CHARMS!$A$6:$CQ$89,33,)))</f>
        <v>57</v>
      </c>
      <c r="G14" s="365">
        <f>IF($A14="","",HLOOKUP($A14,CHARMS!$A$6:$CQ$89,79,))</f>
        <v>5</v>
      </c>
      <c r="H14" s="368">
        <f>IF($A14="","",HLOOKUP($A14,CHARMS!$A$6:$CQ$89,43,))</f>
        <v>0.98245614035087714</v>
      </c>
      <c r="I14" s="365" t="str">
        <f>IF($A14="","",HLOOKUP($A14,CHARMS!$A$6:$CQ$89,49,))</f>
        <v>Based on univariable associations</v>
      </c>
      <c r="J14" s="365" t="str">
        <f>IF($A14="","",HLOOKUP($A14,CHARMS!$A$6:$CQ$89,50,))</f>
        <v>Backward elimination</v>
      </c>
      <c r="K14" s="365" t="str">
        <f>CONCATENATE(IF($A14="","",IF(OR(HLOOKUP($A14,CHARMS!$A$6:$CQ$89,40,)=0,ISTEXT(HLOOKUP($A14,CHARMS!$A$6:$CQ$89,45,))),"n (%): Unkown",CONCATENATE("n (%): ",HLOOKUP($A14,CHARMS!$A$6:$CQ$89,45,)," (",FIXED((HLOOKUP($A14,CHARMS!$A$6:$CQ$89,45,)/HLOOKUP($A14,CHARMS!$A$6:$CQ$89,40,))*100,1),")"))),CHAR(10),IF($A14="","",CONCATENATE("Method: ",HLOOKUP($A14,CHARMS!$A$6:$CQ$89,46,))))</f>
        <v>n (%): Unkown
Method: No information</v>
      </c>
      <c r="L14" s="368" t="str">
        <f>IF($A14="","",CONCATENATE("Int: ",HLOOKUP($A14,CHARMS!$A$6:$CQ$89,75,),CHAR(10),"Ext : ",HLOOKUP($A14,CHARMS!$A$6:$CQ$89,76,)))</f>
        <v>Int: Bootstrap
Ext : Geographical</v>
      </c>
      <c r="M14" s="368" t="str">
        <f>IF($A14="","",CONCATENATE("Cal: ",HLOOKUP($A14,CHARMS!$A$6:$CQ$89,53,),CHAR(10),"Disc : ",HLOOKUP($A14,CHARMS!$A$6:$CQ$89,59,),CHAR(10),"Ov: ",HLOOKUP($A14,CHARMS!$A$6:$CQ$89,66,)))</f>
        <v>Cal: HL test 
Disc : C-Statistic / AUC graph 
Ov: Not evaluated</v>
      </c>
      <c r="N14" s="136" t="s">
        <v>62</v>
      </c>
      <c r="O14" s="137" t="str">
        <f>_xlfn.IFNA(IF(HLOOKUP($A14,PROBAST!$A$6:$AE$77,11,)="Low RoB","+",IF(HLOOKUP($A14,PROBAST!$A$6:$AE$77,11,)="High RoB","-",IF(HLOOKUP($A14,PROBAST!$A$6:$AE$77,11,)="Unclear","?",""))),"")</f>
        <v>+</v>
      </c>
      <c r="P14" s="137" t="str">
        <f>_xlfn.IFNA(IF(HLOOKUP($A14,PROBAST!$A$6:$AE$77,25,)="Low RoB","+",IF(HLOOKUP($A14,PROBAST!$A$6:$AE$77,25,)="High RoB","-",IF(HLOOKUP($A14,PROBAST!$A$6:$AE$77,25,)="Unclear","?",""))),"")</f>
        <v>+</v>
      </c>
      <c r="Q14" s="137" t="str">
        <f>_xlfn.IFNA(IF(HLOOKUP($A14,PROBAST!$A$6:$AE$77,39,)="Low RoB","+",IF(HLOOKUP($A14,PROBAST!$A$6:$AE$77,39,)="High RoB","-",IF(HLOOKUP($A14,PROBAST!$A$6:$AE$77,39,)="Unclear","?",""))),"")</f>
        <v>+</v>
      </c>
      <c r="R14" s="138" t="str">
        <f>_xlfn.IFNA(IF(HLOOKUP($A14,PROBAST!$A$6:$AE$77,58,)="Low RoB","+",IF(HLOOKUP($A14,PROBAST!$A$6:$AE$77,58,)="High RoB","-",IF(HLOOKUP($A14,PROBAST!$A$6:$AE$77,58,)="Unclear","?",""))),"")</f>
        <v>-</v>
      </c>
      <c r="S14" s="139"/>
      <c r="T14" s="139"/>
      <c r="U14" s="139"/>
      <c r="V14" s="139"/>
      <c r="W14" s="139"/>
    </row>
    <row r="15" spans="1:23" ht="22.5" customHeight="1" thickBot="1" x14ac:dyDescent="0.3">
      <c r="A15" s="370"/>
      <c r="B15" s="377"/>
      <c r="C15" s="367"/>
      <c r="D15" s="378"/>
      <c r="E15" s="367"/>
      <c r="F15" s="367"/>
      <c r="G15" s="367"/>
      <c r="H15" s="376"/>
      <c r="I15" s="367"/>
      <c r="J15" s="367"/>
      <c r="K15" s="366"/>
      <c r="L15" s="376"/>
      <c r="M15" s="376"/>
      <c r="N15" s="141" t="s">
        <v>61</v>
      </c>
      <c r="O15" s="142" t="str">
        <f>_xlfn.IFNA(IF(HLOOKUP($A14,PROBAST!$A$6:$AE$77,12,)="Low concern","+",IF(HLOOKUP($A14,PROBAST!$A$6:$AE$77,12,)="High concern","-",IF(HLOOKUP($A14,PROBAST!$A$6:$AE$77,12,)="Unclear","?",""))),"")</f>
        <v>+</v>
      </c>
      <c r="P15" s="142" t="str">
        <f>_xlfn.IFNA(IF(HLOOKUP($A14,PROBAST!$A$6:$AE$77,26,)="Low concern","+",IF(HLOOKUP($A14,PROBAST!$A$6:$AE$77,26,)="High concern","-",IF(HLOOKUP($A14,PROBAST!$A$6:$AE$77,26,)="Unclear","?",""))),"")</f>
        <v>?</v>
      </c>
      <c r="Q15" s="142" t="str">
        <f>_xlfn.IFNA(IF(HLOOKUP($A14,PROBAST!$A$6:$AE$77,40,)="Low concern","+",IF(HLOOKUP($A14,PROBAST!$A$6:$AE$77,40,)="High concern","-",IF(HLOOKUP($A14,PROBAST!$A$6:$AE$77,40,)="Unclear","?",""))),"")</f>
        <v>+</v>
      </c>
      <c r="R15" s="143"/>
    </row>
    <row r="16" spans="1:23" s="140" customFormat="1" ht="22.5" customHeight="1" x14ac:dyDescent="0.25">
      <c r="A16" s="370" t="str">
        <f>CHARMS!U$6</f>
        <v>Gatti (b), 2017</v>
      </c>
      <c r="B16" s="372" t="str">
        <f>HLOOKUP($A16,CHARMS!$A$6:$CQ$89,1,)</f>
        <v>Gatti (b), 2017</v>
      </c>
      <c r="C16" s="365" t="str">
        <f>IF($A16="","",HLOOKUP($A16,CHARMS!$A$6:$CQ$89,48,))</f>
        <v>Logistic regression</v>
      </c>
      <c r="D16" s="374">
        <f>IF($A16="","",IF(HLOOKUP($A16,CHARMS!$A$6:$CQ$89,40,)=0,"Unkown",HLOOKUP($A16,CHARMS!$A$6:$CQ$89,40,)))</f>
        <v>361</v>
      </c>
      <c r="E16" s="365" t="str">
        <f>IF($A16="","",IF(HLOOKUP($A16,CHARMS!$A$6:$CQ$89,40,)=0,"Unkown",CONCATENATE(HLOOKUP($A16,CHARMS!$A$6:$CQ$89,41,)," (",FIXED((HLOOKUP($A16,CHARMS!$A$6:$CQ$89,41,)/HLOOKUP($A16,CHARMS!$A$6:$CQ$89,40,))*100,1),")")))</f>
        <v>56 (15.5)</v>
      </c>
      <c r="F16" s="365">
        <f>IF($A16="","",IF(HLOOKUP($A16,CHARMS!$A$6:$CQ$89,33,)=0,"Unkown",HLOOKUP($A16,CHARMS!$A$6:$CQ$89,33,)))</f>
        <v>57</v>
      </c>
      <c r="G16" s="365">
        <f>IF($A16="","",HLOOKUP($A16,CHARMS!$A$6:$CQ$89,79,))</f>
        <v>3</v>
      </c>
      <c r="H16" s="368">
        <f>IF($A16="","",HLOOKUP($A16,CHARMS!$A$6:$CQ$89,43,))</f>
        <v>0.98245614035087714</v>
      </c>
      <c r="I16" s="365" t="str">
        <f>IF($A16="","",HLOOKUP($A16,CHARMS!$A$6:$CQ$89,49,))</f>
        <v>Based on univariable associations</v>
      </c>
      <c r="J16" s="365" t="str">
        <f>IF($A16="","",HLOOKUP($A16,CHARMS!$A$6:$CQ$89,50,))</f>
        <v>Backward elimination</v>
      </c>
      <c r="K16" s="365" t="str">
        <f>CONCATENATE(IF($A16="","",IF(OR(HLOOKUP($A16,CHARMS!$A$6:$CQ$89,40,)=0,ISTEXT(HLOOKUP($A16,CHARMS!$A$6:$CQ$89,45,))),"n (%): Unkown",CONCATENATE("n (%): ",HLOOKUP($A16,CHARMS!$A$6:$CQ$89,45,)," (",FIXED((HLOOKUP($A16,CHARMS!$A$6:$CQ$89,45,)/HLOOKUP($A16,CHARMS!$A$6:$CQ$89,40,))*100,1),")"))),CHAR(10),IF($A16="","",CONCATENATE("Method: ",HLOOKUP($A16,CHARMS!$A$6:$CQ$89,46,))))</f>
        <v>n (%): Unkown
Method: No information</v>
      </c>
      <c r="L16" s="368" t="str">
        <f>IF($A16="","",CONCATENATE("Int: ",HLOOKUP($A16,CHARMS!$A$6:$CQ$89,75,),CHAR(10),"Ext : ",HLOOKUP($A16,CHARMS!$A$6:$CQ$89,76,)))</f>
        <v>Int: Bootstrap
Ext : None</v>
      </c>
      <c r="M16" s="368" t="str">
        <f>IF($A16="","",CONCATENATE("Cal: ",HLOOKUP($A16,CHARMS!$A$6:$CQ$89,53,),CHAR(10),"Disc : ",HLOOKUP($A16,CHARMS!$A$6:$CQ$89,59,),CHAR(10),"Ov: ",HLOOKUP($A16,CHARMS!$A$6:$CQ$89,66,)))</f>
        <v>Cal: HL test 
Disc : C-Statistic / AUC graph 
Ov: Not evaluated</v>
      </c>
      <c r="N16" s="136" t="s">
        <v>62</v>
      </c>
      <c r="O16" s="137" t="str">
        <f>_xlfn.IFNA(IF(HLOOKUP($A16,PROBAST!$A$6:$AE$77,11,)="Low RoB","+",IF(HLOOKUP($A16,PROBAST!$A$6:$AE$77,11,)="High RoB","-",IF(HLOOKUP($A16,PROBAST!$A$6:$AE$77,11,)="Unclear","?",""))),"")</f>
        <v>+</v>
      </c>
      <c r="P16" s="137" t="str">
        <f>_xlfn.IFNA(IF(HLOOKUP($A16,PROBAST!$A$6:$AE$77,25,)="Low RoB","+",IF(HLOOKUP($A16,PROBAST!$A$6:$AE$77,25,)="High RoB","-",IF(HLOOKUP($A16,PROBAST!$A$6:$AE$77,25,)="Unclear","?",""))),"")</f>
        <v>+</v>
      </c>
      <c r="Q16" s="137" t="str">
        <f>_xlfn.IFNA(IF(HLOOKUP($A16,PROBAST!$A$6:$AE$77,39,)="Low RoB","+",IF(HLOOKUP($A16,PROBAST!$A$6:$AE$77,39,)="High RoB","-",IF(HLOOKUP($A16,PROBAST!$A$6:$AE$77,39,)="Unclear","?",""))),"")</f>
        <v>+</v>
      </c>
      <c r="R16" s="138" t="str">
        <f>_xlfn.IFNA(IF(HLOOKUP($A16,PROBAST!$A$6:$AE$77,58,)="Low RoB","+",IF(HLOOKUP($A16,PROBAST!$A$6:$AE$77,58,)="High RoB","-",IF(HLOOKUP($A16,PROBAST!$A$6:$AE$77,58,)="Unclear","?",""))),"")</f>
        <v>-</v>
      </c>
      <c r="S16" s="139"/>
      <c r="T16" s="139"/>
      <c r="U16" s="139"/>
      <c r="V16" s="139"/>
      <c r="W16" s="139"/>
    </row>
    <row r="17" spans="1:23" ht="22.5" customHeight="1" thickBot="1" x14ac:dyDescent="0.3">
      <c r="A17" s="370"/>
      <c r="B17" s="377"/>
      <c r="C17" s="367"/>
      <c r="D17" s="378"/>
      <c r="E17" s="367"/>
      <c r="F17" s="367"/>
      <c r="G17" s="367"/>
      <c r="H17" s="376"/>
      <c r="I17" s="367"/>
      <c r="J17" s="367"/>
      <c r="K17" s="366"/>
      <c r="L17" s="376"/>
      <c r="M17" s="376"/>
      <c r="N17" s="141" t="s">
        <v>61</v>
      </c>
      <c r="O17" s="142" t="str">
        <f>_xlfn.IFNA(IF(HLOOKUP($A16,PROBAST!$A$6:$AE$77,12,)="Low concern","+",IF(HLOOKUP($A16,PROBAST!$A$6:$AE$77,12,)="High concern","-",IF(HLOOKUP($A16,PROBAST!$A$6:$AE$77,12,)="Unclear","?",""))),"")</f>
        <v>+</v>
      </c>
      <c r="P17" s="142" t="str">
        <f>_xlfn.IFNA(IF(HLOOKUP($A16,PROBAST!$A$6:$AE$77,26,)="Low concern","+",IF(HLOOKUP($A16,PROBAST!$A$6:$AE$77,26,)="High concern","-",IF(HLOOKUP($A16,PROBAST!$A$6:$AE$77,26,)="Unclear","?",""))),"")</f>
        <v>+</v>
      </c>
      <c r="Q17" s="142" t="str">
        <f>_xlfn.IFNA(IF(HLOOKUP($A16,PROBAST!$A$6:$AE$77,40,)="Low concern","+",IF(HLOOKUP($A16,PROBAST!$A$6:$AE$77,40,)="High concern","-",IF(HLOOKUP($A16,PROBAST!$A$6:$AE$77,40,)="Unclear","?",""))),"")</f>
        <v>+</v>
      </c>
      <c r="R17" s="143"/>
    </row>
    <row r="18" spans="1:23" s="140" customFormat="1" ht="22.5" customHeight="1" x14ac:dyDescent="0.25">
      <c r="A18" s="370" t="str">
        <f>CHARMS!X$6</f>
        <v>Di Mauro, 2017</v>
      </c>
      <c r="B18" s="372" t="str">
        <f>HLOOKUP($A18,CHARMS!$A$6:$CQ$89,1,)</f>
        <v>Di Mauro, 2017</v>
      </c>
      <c r="C18" s="365" t="str">
        <f>IF($A18="","",HLOOKUP($A18,CHARMS!$A$6:$CQ$89,48,))</f>
        <v>Logistic regression</v>
      </c>
      <c r="D18" s="374">
        <f>IF($A18="","",IF(HLOOKUP($A18,CHARMS!$A$6:$CQ$89,40,)=0,"Unkown",HLOOKUP($A18,CHARMS!$A$6:$CQ$89,40,)))</f>
        <v>2715</v>
      </c>
      <c r="E18" s="365" t="str">
        <f>IF($A18="","",IF(HLOOKUP($A18,CHARMS!$A$6:$CQ$89,40,)=0,"Unkown",CONCATENATE(HLOOKUP($A18,CHARMS!$A$6:$CQ$89,41,)," (",FIXED((HLOOKUP($A18,CHARMS!$A$6:$CQ$89,41,)/HLOOKUP($A18,CHARMS!$A$6:$CQ$89,40,))*100,1),")")))</f>
        <v>298 (11.0)</v>
      </c>
      <c r="F18" s="365">
        <f>IF($A18="","",IF(HLOOKUP($A18,CHARMS!$A$6:$CQ$89,33,)=0,"Unkown",HLOOKUP($A18,CHARMS!$A$6:$CQ$89,33,)))</f>
        <v>32</v>
      </c>
      <c r="G18" s="365">
        <f>IF($A18="","",HLOOKUP($A18,CHARMS!$A$6:$CQ$89,79,))</f>
        <v>15</v>
      </c>
      <c r="H18" s="368">
        <f>IF($A18="","",HLOOKUP($A18,CHARMS!$A$6:$CQ$89,43,))</f>
        <v>9.3125</v>
      </c>
      <c r="I18" s="365" t="str">
        <f>IF($A18="","",HLOOKUP($A18,CHARMS!$A$6:$CQ$89,49,))</f>
        <v>Based on univariable associations</v>
      </c>
      <c r="J18" s="365" t="str">
        <f>IF($A18="","",HLOOKUP($A18,CHARMS!$A$6:$CQ$89,50,))</f>
        <v>No information</v>
      </c>
      <c r="K18" s="365" t="str">
        <f>CONCATENATE(IF($A18="","",IF(OR(HLOOKUP($A18,CHARMS!$A$6:$CQ$89,40,)=0,ISTEXT(HLOOKUP($A18,CHARMS!$A$6:$CQ$89,45,))),"n (%): Unkown",CONCATENATE("n (%): ",HLOOKUP($A18,CHARMS!$A$6:$CQ$89,45,)," (",FIXED((HLOOKUP($A18,CHARMS!$A$6:$CQ$89,45,)/HLOOKUP($A18,CHARMS!$A$6:$CQ$89,40,))*100,1),")"))),CHAR(10),IF($A18="","",CONCATENATE("Method: ",HLOOKUP($A18,CHARMS!$A$6:$CQ$89,46,))))</f>
        <v>n (%): Unkown
Method: No information</v>
      </c>
      <c r="L18" s="368" t="str">
        <f>IF($A18="","",CONCATENATE("Int: ",HLOOKUP($A18,CHARMS!$A$6:$CQ$89,75,),CHAR(10),"Ext : ",HLOOKUP($A18,CHARMS!$A$6:$CQ$89,76,)))</f>
        <v>Int: Bootstrap
Ext : None</v>
      </c>
      <c r="M18" s="368" t="str">
        <f>IF($A18="","",CONCATENATE("Cal: ",HLOOKUP($A18,CHARMS!$A$6:$CQ$89,53,),CHAR(10),"Disc : ",HLOOKUP($A18,CHARMS!$A$6:$CQ$89,59,),CHAR(10),"Ov: ",HLOOKUP($A18,CHARMS!$A$6:$CQ$89,66,)))</f>
        <v xml:space="preserve">Cal: Comparison of actual CITL and slope with the ideal values
Disc : C-Statistic / AUC graph 
Ov: Brier score </v>
      </c>
      <c r="N18" s="136" t="s">
        <v>62</v>
      </c>
      <c r="O18" s="137" t="str">
        <f>_xlfn.IFNA(IF(HLOOKUP($A18,PROBAST!$A$6:$AE$77,11,)="Low RoB","+",IF(HLOOKUP($A18,PROBAST!$A$6:$AE$77,11,)="High RoB","-",IF(HLOOKUP($A18,PROBAST!$A$6:$AE$77,11,)="Unclear","?",""))),"")</f>
        <v>?</v>
      </c>
      <c r="P18" s="137" t="str">
        <f>_xlfn.IFNA(IF(HLOOKUP($A18,PROBAST!$A$6:$AE$77,25,)="Low RoB","+",IF(HLOOKUP($A18,PROBAST!$A$6:$AE$77,25,)="High RoB","-",IF(HLOOKUP($A18,PROBAST!$A$6:$AE$77,25,)="Unclear","?",""))),"")</f>
        <v>+</v>
      </c>
      <c r="Q18" s="137" t="str">
        <f>_xlfn.IFNA(IF(HLOOKUP($A18,PROBAST!$A$6:$AE$77,39,)="Low RoB","+",IF(HLOOKUP($A18,PROBAST!$A$6:$AE$77,39,)="High RoB","-",IF(HLOOKUP($A18,PROBAST!$A$6:$AE$77,39,)="Unclear","?",""))),"")</f>
        <v>+</v>
      </c>
      <c r="R18" s="138" t="str">
        <f>_xlfn.IFNA(IF(HLOOKUP($A18,PROBAST!$A$6:$AE$77,58,)="Low RoB","+",IF(HLOOKUP($A18,PROBAST!$A$6:$AE$77,58,)="High RoB","-",IF(HLOOKUP($A18,PROBAST!$A$6:$AE$77,58,)="Unclear","?",""))),"")</f>
        <v>?</v>
      </c>
      <c r="S18" s="139"/>
      <c r="T18" s="139"/>
      <c r="U18" s="139"/>
      <c r="V18" s="139"/>
      <c r="W18" s="139"/>
    </row>
    <row r="19" spans="1:23" ht="22.5" customHeight="1" thickBot="1" x14ac:dyDescent="0.3">
      <c r="A19" s="370"/>
      <c r="B19" s="377"/>
      <c r="C19" s="367"/>
      <c r="D19" s="378"/>
      <c r="E19" s="367"/>
      <c r="F19" s="367"/>
      <c r="G19" s="367"/>
      <c r="H19" s="376"/>
      <c r="I19" s="367"/>
      <c r="J19" s="367"/>
      <c r="K19" s="366"/>
      <c r="L19" s="376"/>
      <c r="M19" s="376"/>
      <c r="N19" s="141" t="s">
        <v>61</v>
      </c>
      <c r="O19" s="142" t="str">
        <f>_xlfn.IFNA(IF(HLOOKUP($A18,PROBAST!$A$6:$AE$77,12,)="Low concern","+",IF(HLOOKUP($A18,PROBAST!$A$6:$AE$77,12,)="High concern","-",IF(HLOOKUP($A18,PROBAST!$A$6:$AE$77,12,)="Unclear","?",""))),"")</f>
        <v>?</v>
      </c>
      <c r="P19" s="142" t="str">
        <f>_xlfn.IFNA(IF(HLOOKUP($A18,PROBAST!$A$6:$AE$77,26,)="Low concern","+",IF(HLOOKUP($A18,PROBAST!$A$6:$AE$77,26,)="High concern","-",IF(HLOOKUP($A18,PROBAST!$A$6:$AE$77,26,)="Unclear","?",""))),"")</f>
        <v>+</v>
      </c>
      <c r="Q19" s="142" t="str">
        <f>_xlfn.IFNA(IF(HLOOKUP($A18,PROBAST!$A$6:$AE$77,40,)="Low concern","+",IF(HLOOKUP($A18,PROBAST!$A$6:$AE$77,40,)="High concern","-",IF(HLOOKUP($A18,PROBAST!$A$6:$AE$77,40,)="Unclear","?",""))),"")</f>
        <v>+</v>
      </c>
      <c r="R19" s="143"/>
    </row>
    <row r="20" spans="1:23" s="140" customFormat="1" ht="22.5" customHeight="1" x14ac:dyDescent="0.25">
      <c r="A20" s="370" t="str">
        <f>CHARMS!AA$6</f>
        <v>Gatti (c), 2017</v>
      </c>
      <c r="B20" s="372" t="str">
        <f>HLOOKUP($A20,CHARMS!$A$6:$CQ$89,1,)</f>
        <v>Gatti (c), 2017</v>
      </c>
      <c r="C20" s="365" t="str">
        <f>IF($A20="","",HLOOKUP($A20,CHARMS!$A$6:$CQ$89,48,))</f>
        <v>Logistic regression</v>
      </c>
      <c r="D20" s="374">
        <f>IF($A20="","",IF(HLOOKUP($A20,CHARMS!$A$6:$CQ$89,40,)=0,"Unkown",HLOOKUP($A20,CHARMS!$A$6:$CQ$89,40,)))</f>
        <v>138</v>
      </c>
      <c r="E20" s="365" t="str">
        <f>IF($A20="","",IF(HLOOKUP($A20,CHARMS!$A$6:$CQ$89,40,)=0,"Unkown",CONCATENATE(HLOOKUP($A20,CHARMS!$A$6:$CQ$89,41,)," (",FIXED((HLOOKUP($A20,CHARMS!$A$6:$CQ$89,41,)/HLOOKUP($A20,CHARMS!$A$6:$CQ$89,40,))*100,1),")")))</f>
        <v>28 (20.3)</v>
      </c>
      <c r="F20" s="365">
        <f>IF($A20="","",IF(HLOOKUP($A20,CHARMS!$A$6:$CQ$89,33,)=0,"Unkown",HLOOKUP($A20,CHARMS!$A$6:$CQ$89,33,)))</f>
        <v>56</v>
      </c>
      <c r="G20" s="365">
        <f>IF($A20="","",HLOOKUP($A20,CHARMS!$A$6:$CQ$89,79,))</f>
        <v>5</v>
      </c>
      <c r="H20" s="368">
        <f>IF($A20="","",HLOOKUP($A20,CHARMS!$A$6:$CQ$89,43,))</f>
        <v>0.5</v>
      </c>
      <c r="I20" s="365" t="str">
        <f>IF($A20="","",HLOOKUP($A20,CHARMS!$A$6:$CQ$89,49,))</f>
        <v>Based on univariable associations</v>
      </c>
      <c r="J20" s="365" t="str">
        <f>IF($A20="","",HLOOKUP($A20,CHARMS!$A$6:$CQ$89,50,))</f>
        <v>Backward elimination</v>
      </c>
      <c r="K20" s="365" t="str">
        <f>CONCATENATE(IF($A20="","",IF(OR(HLOOKUP($A20,CHARMS!$A$6:$CQ$89,40,)=0,ISTEXT(HLOOKUP($A20,CHARMS!$A$6:$CQ$89,45,))),"n (%): Unkown",CONCATENATE("n (%): ",HLOOKUP($A20,CHARMS!$A$6:$CQ$89,45,)," (",FIXED((HLOOKUP($A20,CHARMS!$A$6:$CQ$89,45,)/HLOOKUP($A20,CHARMS!$A$6:$CQ$89,40,))*100,1),")"))),CHAR(10),IF($A20="","",CONCATENATE("Method: ",HLOOKUP($A20,CHARMS!$A$6:$CQ$89,46,))))</f>
        <v>n (%): 45 (32.6)
Method: No information</v>
      </c>
      <c r="L20" s="368" t="str">
        <f>IF($A20="","",CONCATENATE("Int: ",HLOOKUP($A20,CHARMS!$A$6:$CQ$89,75,),CHAR(10),"Ext : ",HLOOKUP($A20,CHARMS!$A$6:$CQ$89,76,)))</f>
        <v>Int: Bootstrap
Ext : None</v>
      </c>
      <c r="M20" s="368" t="str">
        <f>IF($A20="","",CONCATENATE("Cal: ",HLOOKUP($A20,CHARMS!$A$6:$CQ$89,53,),CHAR(10),"Disc : ",HLOOKUP($A20,CHARMS!$A$6:$CQ$89,59,),CHAR(10),"Ov: ",HLOOKUP($A20,CHARMS!$A$6:$CQ$89,66,)))</f>
        <v>Cal: HL test 
Disc : C-Statistic / AUC graph 
Ov: Not evaluated</v>
      </c>
      <c r="N20" s="136" t="s">
        <v>62</v>
      </c>
      <c r="O20" s="137" t="str">
        <f>_xlfn.IFNA(IF(HLOOKUP($A20,PROBAST!$A$6:$AE$77,11,)="Low RoB","+",IF(HLOOKUP($A20,PROBAST!$A$6:$AE$77,11,)="High RoB","-",IF(HLOOKUP($A20,PROBAST!$A$6:$AE$77,11,)="Unclear","?",""))),"")</f>
        <v>+</v>
      </c>
      <c r="P20" s="137" t="str">
        <f>_xlfn.IFNA(IF(HLOOKUP($A20,PROBAST!$A$6:$AE$77,25,)="Low RoB","+",IF(HLOOKUP($A20,PROBAST!$A$6:$AE$77,25,)="High RoB","-",IF(HLOOKUP($A20,PROBAST!$A$6:$AE$77,25,)="Unclear","?",""))),"")</f>
        <v>+</v>
      </c>
      <c r="Q20" s="137" t="str">
        <f>_xlfn.IFNA(IF(HLOOKUP($A20,PROBAST!$A$6:$AE$77,39,)="Low RoB","+",IF(HLOOKUP($A20,PROBAST!$A$6:$AE$77,39,)="High RoB","-",IF(HLOOKUP($A20,PROBAST!$A$6:$AE$77,39,)="Unclear","?",""))),"")</f>
        <v>+</v>
      </c>
      <c r="R20" s="138" t="str">
        <f>_xlfn.IFNA(IF(HLOOKUP($A20,PROBAST!$A$6:$AE$77,58,)="Low RoB","+",IF(HLOOKUP($A20,PROBAST!$A$6:$AE$77,58,)="High RoB","-",IF(HLOOKUP($A20,PROBAST!$A$6:$AE$77,58,)="Unclear","?",""))),"")</f>
        <v>-</v>
      </c>
      <c r="S20" s="139"/>
      <c r="T20" s="139"/>
      <c r="U20" s="139"/>
      <c r="V20" s="139"/>
      <c r="W20" s="139"/>
    </row>
    <row r="21" spans="1:23" ht="22.5" customHeight="1" thickBot="1" x14ac:dyDescent="0.3">
      <c r="A21" s="370"/>
      <c r="B21" s="377"/>
      <c r="C21" s="367"/>
      <c r="D21" s="378"/>
      <c r="E21" s="367"/>
      <c r="F21" s="367"/>
      <c r="G21" s="367"/>
      <c r="H21" s="376"/>
      <c r="I21" s="367"/>
      <c r="J21" s="367"/>
      <c r="K21" s="366"/>
      <c r="L21" s="376"/>
      <c r="M21" s="376"/>
      <c r="N21" s="141" t="s">
        <v>61</v>
      </c>
      <c r="O21" s="142" t="str">
        <f>_xlfn.IFNA(IF(HLOOKUP($A20,PROBAST!$A$6:$AE$77,12,)="Low concern","+",IF(HLOOKUP($A20,PROBAST!$A$6:$AE$77,12,)="High concern","-",IF(HLOOKUP($A20,PROBAST!$A$6:$AE$77,12,)="Unclear","?",""))),"")</f>
        <v>+</v>
      </c>
      <c r="P21" s="142" t="str">
        <f>_xlfn.IFNA(IF(HLOOKUP($A20,PROBAST!$A$6:$AE$77,26,)="Low concern","+",IF(HLOOKUP($A20,PROBAST!$A$6:$AE$77,26,)="High concern","-",IF(HLOOKUP($A20,PROBAST!$A$6:$AE$77,26,)="Unclear","?",""))),"")</f>
        <v>+</v>
      </c>
      <c r="Q21" s="142" t="str">
        <f>_xlfn.IFNA(IF(HLOOKUP($A20,PROBAST!$A$6:$AE$77,40,)="Low concern","+",IF(HLOOKUP($A20,PROBAST!$A$6:$AE$77,40,)="High concern","-",IF(HLOOKUP($A20,PROBAST!$A$6:$AE$77,40,)="Unclear","?",""))),"")</f>
        <v>+</v>
      </c>
      <c r="R21" s="143"/>
    </row>
    <row r="22" spans="1:23" s="140" customFormat="1" ht="22.5" customHeight="1" x14ac:dyDescent="0.25">
      <c r="A22" s="370" t="str">
        <f>CHARMS!AD$6</f>
        <v>Olmos, 2017</v>
      </c>
      <c r="B22" s="372" t="str">
        <f>HLOOKUP($A22,CHARMS!$A$6:$CQ$89,1,)</f>
        <v>Olmos, 2017</v>
      </c>
      <c r="C22" s="365" t="str">
        <f>IF($A22="","",HLOOKUP($A22,CHARMS!$A$6:$CQ$89,48,))</f>
        <v>Logistic regression</v>
      </c>
      <c r="D22" s="374">
        <f>IF($A22="","",IF(HLOOKUP($A22,CHARMS!$A$6:$CQ$89,40,)=0,"Unkown",HLOOKUP($A22,CHARMS!$A$6:$CQ$89,40,)))</f>
        <v>424</v>
      </c>
      <c r="E22" s="365" t="str">
        <f>IF($A22="","",IF(HLOOKUP($A22,CHARMS!$A$6:$CQ$89,40,)=0,"Unkown",CONCATENATE(HLOOKUP($A22,CHARMS!$A$6:$CQ$89,41,)," (",FIXED((HLOOKUP($A22,CHARMS!$A$6:$CQ$89,41,)/HLOOKUP($A22,CHARMS!$A$6:$CQ$89,40,))*100,1),")")))</f>
        <v>124 (29.2)</v>
      </c>
      <c r="F22" s="365">
        <f>IF($A22="","",IF(HLOOKUP($A22,CHARMS!$A$6:$CQ$89,33,)=0,"Unkown",HLOOKUP($A22,CHARMS!$A$6:$CQ$89,33,)))</f>
        <v>37</v>
      </c>
      <c r="G22" s="365">
        <f>IF($A22="","",HLOOKUP($A22,CHARMS!$A$6:$CQ$89,79,))</f>
        <v>8</v>
      </c>
      <c r="H22" s="368">
        <f>IF($A22="","",HLOOKUP($A22,CHARMS!$A$6:$CQ$89,43,))</f>
        <v>3.3513513513513513</v>
      </c>
      <c r="I22" s="365" t="str">
        <f>IF($A22="","",HLOOKUP($A22,CHARMS!$A$6:$CQ$89,49,))</f>
        <v>Based on univariable associations and clinical relevance</v>
      </c>
      <c r="J22" s="365" t="str">
        <f>IF($A22="","",HLOOKUP($A22,CHARMS!$A$6:$CQ$89,50,))</f>
        <v>Stepwise selection</v>
      </c>
      <c r="K22" s="365" t="str">
        <f>CONCATENATE(IF($A22="","",IF(OR(HLOOKUP($A22,CHARMS!$A$6:$CQ$89,40,)=0,ISTEXT(HLOOKUP($A22,CHARMS!$A$6:$CQ$89,45,))),"n (%): Unkown",CONCATENATE("n (%): ",HLOOKUP($A22,CHARMS!$A$6:$CQ$89,45,)," (",FIXED((HLOOKUP($A22,CHARMS!$A$6:$CQ$89,45,)/HLOOKUP($A22,CHARMS!$A$6:$CQ$89,40,))*100,1),")"))),CHAR(10),IF($A22="","",CONCATENATE("Method: ",HLOOKUP($A22,CHARMS!$A$6:$CQ$89,46,))))</f>
        <v>n (%): Unkown
Method: No information</v>
      </c>
      <c r="L22" s="368" t="str">
        <f>IF($A22="","",CONCATENATE("Int: ",HLOOKUP($A22,CHARMS!$A$6:$CQ$89,75,),CHAR(10),"Ext : ",HLOOKUP($A22,CHARMS!$A$6:$CQ$89,76,)))</f>
        <v>Int: Random split data
Ext : Geographical</v>
      </c>
      <c r="M22" s="368" t="str">
        <f>IF($A22="","",CONCATENATE("Cal: ",HLOOKUP($A22,CHARMS!$A$6:$CQ$89,53,),CHAR(10),"Disc : ",HLOOKUP($A22,CHARMS!$A$6:$CQ$89,59,),CHAR(10),"Ov: ",HLOOKUP($A22,CHARMS!$A$6:$CQ$89,66,)))</f>
        <v>Cal: Calibration plot / HL test 
Disc : C-Statistic / AUC graph 
Ov: Not evaluated</v>
      </c>
      <c r="N22" s="136" t="s">
        <v>62</v>
      </c>
      <c r="O22" s="137" t="str">
        <f>_xlfn.IFNA(IF(HLOOKUP($A22,PROBAST!$A$6:$AE$77,11,)="Low RoB","+",IF(HLOOKUP($A22,PROBAST!$A$6:$AE$77,11,)="High RoB","-",IF(HLOOKUP($A22,PROBAST!$A$6:$AE$77,11,)="Unclear","?",""))),"")</f>
        <v>+</v>
      </c>
      <c r="P22" s="137" t="str">
        <f>_xlfn.IFNA(IF(HLOOKUP($A22,PROBAST!$A$6:$AE$77,25,)="Low RoB","+",IF(HLOOKUP($A22,PROBAST!$A$6:$AE$77,25,)="High RoB","-",IF(HLOOKUP($A22,PROBAST!$A$6:$AE$77,25,)="Unclear","?",""))),"")</f>
        <v>+</v>
      </c>
      <c r="Q22" s="137" t="str">
        <f>_xlfn.IFNA(IF(HLOOKUP($A22,PROBAST!$A$6:$AE$77,39,)="Low RoB","+",IF(HLOOKUP($A22,PROBAST!$A$6:$AE$77,39,)="High RoB","-",IF(HLOOKUP($A22,PROBAST!$A$6:$AE$77,39,)="Unclear","?",""))),"")</f>
        <v>+</v>
      </c>
      <c r="R22" s="138" t="str">
        <f>_xlfn.IFNA(IF(HLOOKUP($A22,PROBAST!$A$6:$AE$77,58,)="Low RoB","+",IF(HLOOKUP($A22,PROBAST!$A$6:$AE$77,58,)="High RoB","-",IF(HLOOKUP($A22,PROBAST!$A$6:$AE$77,58,)="Unclear","?",""))),"")</f>
        <v>-</v>
      </c>
      <c r="S22" s="139"/>
      <c r="T22" s="139"/>
      <c r="U22" s="139"/>
      <c r="V22" s="139"/>
      <c r="W22" s="139"/>
    </row>
    <row r="23" spans="1:23" ht="22.5" customHeight="1" thickBot="1" x14ac:dyDescent="0.3">
      <c r="A23" s="370"/>
      <c r="B23" s="377"/>
      <c r="C23" s="367"/>
      <c r="D23" s="378"/>
      <c r="E23" s="367"/>
      <c r="F23" s="367"/>
      <c r="G23" s="367"/>
      <c r="H23" s="376"/>
      <c r="I23" s="367"/>
      <c r="J23" s="367"/>
      <c r="K23" s="366"/>
      <c r="L23" s="376"/>
      <c r="M23" s="376"/>
      <c r="N23" s="141" t="s">
        <v>61</v>
      </c>
      <c r="O23" s="142" t="str">
        <f>_xlfn.IFNA(IF(HLOOKUP($A22,PROBAST!$A$6:$AE$77,12,)="Low concern","+",IF(HLOOKUP($A22,PROBAST!$A$6:$AE$77,12,)="High concern","-",IF(HLOOKUP($A22,PROBAST!$A$6:$AE$77,12,)="Unclear","?",""))),"")</f>
        <v>+</v>
      </c>
      <c r="P23" s="142" t="str">
        <f>_xlfn.IFNA(IF(HLOOKUP($A22,PROBAST!$A$6:$AE$77,26,)="Low concern","+",IF(HLOOKUP($A22,PROBAST!$A$6:$AE$77,26,)="High concern","-",IF(HLOOKUP($A22,PROBAST!$A$6:$AE$77,26,)="Unclear","?",""))),"")</f>
        <v>+</v>
      </c>
      <c r="Q23" s="142" t="str">
        <f>_xlfn.IFNA(IF(HLOOKUP($A22,PROBAST!$A$6:$AE$77,40,)="Low concern","+",IF(HLOOKUP($A22,PROBAST!$A$6:$AE$77,40,)="High concern","-",IF(HLOOKUP($A22,PROBAST!$A$6:$AE$77,40,)="Unclear","?",""))),"")</f>
        <v>+</v>
      </c>
      <c r="R23" s="143"/>
    </row>
    <row r="24" spans="1:23" s="140" customFormat="1" ht="22.5" customHeight="1" x14ac:dyDescent="0.25">
      <c r="A24" s="370" t="str">
        <f>CHARMS!AG$6</f>
        <v>Fernández-Hidalgo (a), 2018</v>
      </c>
      <c r="B24" s="372" t="str">
        <f>HLOOKUP($A24,CHARMS!$A$6:$CQ$89,1,)</f>
        <v>Fernández-Hidalgo (a), 2018</v>
      </c>
      <c r="C24" s="365" t="str">
        <f>IF($A24="","",HLOOKUP($A24,CHARMS!$A$6:$CQ$89,48,))</f>
        <v>Logistic regression</v>
      </c>
      <c r="D24" s="374">
        <f>IF($A24="","",IF(HLOOKUP($A24,CHARMS!$A$6:$CQ$89,40,)=0,"Unkown",HLOOKUP($A24,CHARMS!$A$6:$CQ$89,40,)))</f>
        <v>779</v>
      </c>
      <c r="E24" s="365" t="str">
        <f>IF($A24="","",IF(HLOOKUP($A24,CHARMS!$A$6:$CQ$89,40,)=0,"Unkown",CONCATENATE(HLOOKUP($A24,CHARMS!$A$6:$CQ$89,41,)," (",FIXED((HLOOKUP($A24,CHARMS!$A$6:$CQ$89,41,)/HLOOKUP($A24,CHARMS!$A$6:$CQ$89,40,))*100,1),")")))</f>
        <v>208 (26.7)</v>
      </c>
      <c r="F24" s="365">
        <f>IF($A24="","",IF(HLOOKUP($A24,CHARMS!$A$6:$CQ$89,33,)=0,"Unkown",HLOOKUP($A24,CHARMS!$A$6:$CQ$89,33,)))</f>
        <v>26</v>
      </c>
      <c r="G24" s="365">
        <f>IF($A24="","",HLOOKUP($A24,CHARMS!$A$6:$CQ$89,79,))</f>
        <v>10</v>
      </c>
      <c r="H24" s="368">
        <f>IF($A24="","",HLOOKUP($A24,CHARMS!$A$6:$CQ$89,43,))</f>
        <v>8</v>
      </c>
      <c r="I24" s="365" t="str">
        <f>IF($A24="","",HLOOKUP($A24,CHARMS!$A$6:$CQ$89,49,))</f>
        <v>Based on prior knowledge</v>
      </c>
      <c r="J24" s="365" t="str">
        <f>IF($A24="","",HLOOKUP($A24,CHARMS!$A$6:$CQ$89,50,))</f>
        <v>Bootstrap selection</v>
      </c>
      <c r="K24" s="365" t="str">
        <f>CONCATENATE(IF($A24="","",IF(OR(HLOOKUP($A24,CHARMS!$A$6:$CQ$89,40,)=0,ISTEXT(HLOOKUP($A24,CHARMS!$A$6:$CQ$89,45,))),"n (%): Unkown",CONCATENATE("n (%): ",HLOOKUP($A24,CHARMS!$A$6:$CQ$89,45,)," (",FIXED((HLOOKUP($A24,CHARMS!$A$6:$CQ$89,45,)/HLOOKUP($A24,CHARMS!$A$6:$CQ$89,40,))*100,1),")"))),CHAR(10),IF($A24="","",CONCATENATE("Method: ",HLOOKUP($A24,CHARMS!$A$6:$CQ$89,46,))))</f>
        <v>n (%): 4 (0.5)
Method: Complete-case analysis</v>
      </c>
      <c r="L24" s="368" t="str">
        <f>IF($A24="","",CONCATENATE("Int: ",HLOOKUP($A24,CHARMS!$A$6:$CQ$89,75,),CHAR(10),"Ext : ",HLOOKUP($A24,CHARMS!$A$6:$CQ$89,76,)))</f>
        <v>Int: Bootstrap
Ext : None</v>
      </c>
      <c r="M24" s="368" t="str">
        <f>IF($A24="","",CONCATENATE("Cal: ",HLOOKUP($A24,CHARMS!$A$6:$CQ$89,53,),CHAR(10),"Disc : ",HLOOKUP($A24,CHARMS!$A$6:$CQ$89,59,),CHAR(10),"Ov: ",HLOOKUP($A24,CHARMS!$A$6:$CQ$89,66,)))</f>
        <v xml:space="preserve">Cal: Calibration plot / Slope / CITL 
Disc : C-Statistic / AUC graph 
Ov: Brier score </v>
      </c>
      <c r="N24" s="136" t="s">
        <v>62</v>
      </c>
      <c r="O24" s="137" t="str">
        <f>_xlfn.IFNA(IF(HLOOKUP($A24,PROBAST!$A$6:$AE$77,11,)="Low RoB","+",IF(HLOOKUP($A24,PROBAST!$A$6:$AE$77,11,)="High RoB","-",IF(HLOOKUP($A24,PROBAST!$A$6:$AE$77,11,)="Unclear","?",""))),"")</f>
        <v>+</v>
      </c>
      <c r="P24" s="137" t="str">
        <f>_xlfn.IFNA(IF(HLOOKUP($A24,PROBAST!$A$6:$AE$77,25,)="Low RoB","+",IF(HLOOKUP($A24,PROBAST!$A$6:$AE$77,25,)="High RoB","-",IF(HLOOKUP($A24,PROBAST!$A$6:$AE$77,25,)="Unclear","?",""))),"")</f>
        <v>+</v>
      </c>
      <c r="Q24" s="137" t="str">
        <f>_xlfn.IFNA(IF(HLOOKUP($A24,PROBAST!$A$6:$AE$77,39,)="Low RoB","+",IF(HLOOKUP($A24,PROBAST!$A$6:$AE$77,39,)="High RoB","-",IF(HLOOKUP($A24,PROBAST!$A$6:$AE$77,39,)="Unclear","?",""))),"")</f>
        <v>+</v>
      </c>
      <c r="R24" s="138" t="str">
        <f>_xlfn.IFNA(IF(HLOOKUP($A24,PROBAST!$A$6:$AE$77,58,)="Low RoB","+",IF(HLOOKUP($A24,PROBAST!$A$6:$AE$77,58,)="High RoB","-",IF(HLOOKUP($A24,PROBAST!$A$6:$AE$77,58,)="Unclear","?",""))),"")</f>
        <v>+</v>
      </c>
      <c r="S24" s="139"/>
      <c r="T24" s="139"/>
      <c r="U24" s="139"/>
      <c r="V24" s="139"/>
      <c r="W24" s="139"/>
    </row>
    <row r="25" spans="1:23" ht="22.5" customHeight="1" thickBot="1" x14ac:dyDescent="0.3">
      <c r="A25" s="370"/>
      <c r="B25" s="377"/>
      <c r="C25" s="367"/>
      <c r="D25" s="378"/>
      <c r="E25" s="367"/>
      <c r="F25" s="367"/>
      <c r="G25" s="367"/>
      <c r="H25" s="376"/>
      <c r="I25" s="367"/>
      <c r="J25" s="367"/>
      <c r="K25" s="366"/>
      <c r="L25" s="376"/>
      <c r="M25" s="376"/>
      <c r="N25" s="141" t="s">
        <v>61</v>
      </c>
      <c r="O25" s="142" t="str">
        <f>_xlfn.IFNA(IF(HLOOKUP($A24,PROBAST!$A$6:$AE$77,12,)="Low concern","+",IF(HLOOKUP($A24,PROBAST!$A$6:$AE$77,12,)="High concern","-",IF(HLOOKUP($A24,PROBAST!$A$6:$AE$77,12,)="Unclear","?",""))),"")</f>
        <v>+</v>
      </c>
      <c r="P25" s="142" t="str">
        <f>_xlfn.IFNA(IF(HLOOKUP($A24,PROBAST!$A$6:$AE$77,26,)="Low concern","+",IF(HLOOKUP($A24,PROBAST!$A$6:$AE$77,26,)="High concern","-",IF(HLOOKUP($A24,PROBAST!$A$6:$AE$77,26,)="Unclear","?",""))),"")</f>
        <v>?</v>
      </c>
      <c r="Q25" s="142" t="str">
        <f>_xlfn.IFNA(IF(HLOOKUP($A24,PROBAST!$A$6:$AE$77,40,)="Low concern","+",IF(HLOOKUP($A24,PROBAST!$A$6:$AE$77,40,)="High concern","-",IF(HLOOKUP($A24,PROBAST!$A$6:$AE$77,40,)="Unclear","?",""))),"")</f>
        <v>+</v>
      </c>
      <c r="R25" s="143"/>
    </row>
    <row r="26" spans="1:23" s="140" customFormat="1" ht="22.5" customHeight="1" x14ac:dyDescent="0.25">
      <c r="A26" s="370" t="str">
        <f>CHARMS!AJ$6</f>
        <v>Fernández-Hidalgo (b), 2018</v>
      </c>
      <c r="B26" s="372" t="str">
        <f>HLOOKUP($A26,CHARMS!$A$6:$CQ$89,1,)</f>
        <v>Fernández-Hidalgo (b), 2018</v>
      </c>
      <c r="C26" s="365" t="str">
        <f>IF($A26="","",HLOOKUP($A26,CHARMS!$A$6:$CQ$89,48,))</f>
        <v>Logistic regression</v>
      </c>
      <c r="D26" s="374">
        <f>IF($A26="","",IF(HLOOKUP($A26,CHARMS!$A$6:$CQ$89,40,)=0,"Unkown",HLOOKUP($A26,CHARMS!$A$6:$CQ$89,40,)))</f>
        <v>779</v>
      </c>
      <c r="E26" s="365" t="str">
        <f>IF($A26="","",IF(HLOOKUP($A26,CHARMS!$A$6:$CQ$89,40,)=0,"Unkown",CONCATENATE(HLOOKUP($A26,CHARMS!$A$6:$CQ$89,41,)," (",FIXED((HLOOKUP($A26,CHARMS!$A$6:$CQ$89,41,)/HLOOKUP($A26,CHARMS!$A$6:$CQ$89,40,))*100,1),")")))</f>
        <v>208 (26.7)</v>
      </c>
      <c r="F26" s="365">
        <f>IF($A26="","",IF(HLOOKUP($A26,CHARMS!$A$6:$CQ$89,33,)=0,"Unkown",HLOOKUP($A26,CHARMS!$A$6:$CQ$89,33,)))</f>
        <v>27</v>
      </c>
      <c r="G26" s="365">
        <f>IF($A26="","",HLOOKUP($A26,CHARMS!$A$6:$CQ$89,79,))</f>
        <v>9</v>
      </c>
      <c r="H26" s="368">
        <f>IF($A26="","",HLOOKUP($A26,CHARMS!$A$6:$CQ$89,43,))</f>
        <v>7.7037037037037033</v>
      </c>
      <c r="I26" s="365" t="str">
        <f>IF($A26="","",HLOOKUP($A26,CHARMS!$A$6:$CQ$89,49,))</f>
        <v>Based on prior knowledge</v>
      </c>
      <c r="J26" s="365" t="str">
        <f>IF($A26="","",HLOOKUP($A26,CHARMS!$A$6:$CQ$89,50,))</f>
        <v>Bootstrap selection</v>
      </c>
      <c r="K26" s="365" t="str">
        <f>CONCATENATE(IF($A26="","",IF(OR(HLOOKUP($A26,CHARMS!$A$6:$CQ$89,40,)=0,ISTEXT(HLOOKUP($A26,CHARMS!$A$6:$CQ$89,45,))),"n (%): Unkown",CONCATENATE("n (%): ",HLOOKUP($A26,CHARMS!$A$6:$CQ$89,45,)," (",FIXED((HLOOKUP($A26,CHARMS!$A$6:$CQ$89,45,)/HLOOKUP($A26,CHARMS!$A$6:$CQ$89,40,))*100,1),")"))),CHAR(10),IF($A26="","",CONCATENATE("Method: ",HLOOKUP($A26,CHARMS!$A$6:$CQ$89,46,))))</f>
        <v>n (%): 4 (0.5)
Method: Complete-case analysis</v>
      </c>
      <c r="L26" s="368" t="str">
        <f>IF($A26="","",CONCATENATE("Int: ",HLOOKUP($A26,CHARMS!$A$6:$CQ$89,75,),CHAR(10),"Ext : ",HLOOKUP($A26,CHARMS!$A$6:$CQ$89,76,)))</f>
        <v>Int: Bootstrap
Ext : None</v>
      </c>
      <c r="M26" s="368" t="str">
        <f>IF($A26="","",CONCATENATE("Cal: ",HLOOKUP($A26,CHARMS!$A$6:$CQ$89,53,),CHAR(10),"Disc : ",HLOOKUP($A26,CHARMS!$A$6:$CQ$89,59,),CHAR(10),"Ov: ",HLOOKUP($A26,CHARMS!$A$6:$CQ$89,66,)))</f>
        <v xml:space="preserve">Cal: Calibration plot / Slope / CITL 
Disc : C-Statistic / AUC graph 
Ov: Brier score </v>
      </c>
      <c r="N26" s="136" t="s">
        <v>62</v>
      </c>
      <c r="O26" s="137" t="str">
        <f>_xlfn.IFNA(IF(HLOOKUP($A26,PROBAST!$A$6:$AE$77,11,)="Low RoB","+",IF(HLOOKUP($A26,PROBAST!$A$6:$AE$77,11,)="High RoB","-",IF(HLOOKUP($A26,PROBAST!$A$6:$AE$77,11,)="Unclear","?",""))),"")</f>
        <v>+</v>
      </c>
      <c r="P26" s="137" t="str">
        <f>_xlfn.IFNA(IF(HLOOKUP($A26,PROBAST!$A$6:$AE$77,25,)="Low RoB","+",IF(HLOOKUP($A26,PROBAST!$A$6:$AE$77,25,)="High RoB","-",IF(HLOOKUP($A26,PROBAST!$A$6:$AE$77,25,)="Unclear","?",""))),"")</f>
        <v>+</v>
      </c>
      <c r="Q26" s="137" t="str">
        <f>_xlfn.IFNA(IF(HLOOKUP($A26,PROBAST!$A$6:$AE$77,39,)="Low RoB","+",IF(HLOOKUP($A26,PROBAST!$A$6:$AE$77,39,)="High RoB","-",IF(HLOOKUP($A26,PROBAST!$A$6:$AE$77,39,)="Unclear","?",""))),"")</f>
        <v>+</v>
      </c>
      <c r="R26" s="138" t="str">
        <f>_xlfn.IFNA(IF(HLOOKUP($A26,PROBAST!$A$6:$AE$77,58,)="Low RoB","+",IF(HLOOKUP($A26,PROBAST!$A$6:$AE$77,58,)="High RoB","-",IF(HLOOKUP($A26,PROBAST!$A$6:$AE$77,58,)="Unclear","?",""))),"")</f>
        <v>+</v>
      </c>
      <c r="S26" s="139"/>
      <c r="T26" s="139"/>
      <c r="U26" s="139"/>
      <c r="V26" s="139"/>
      <c r="W26" s="139"/>
    </row>
    <row r="27" spans="1:23" ht="22.5" customHeight="1" thickBot="1" x14ac:dyDescent="0.3">
      <c r="A27" s="370"/>
      <c r="B27" s="377"/>
      <c r="C27" s="367"/>
      <c r="D27" s="378"/>
      <c r="E27" s="367"/>
      <c r="F27" s="367"/>
      <c r="G27" s="367"/>
      <c r="H27" s="376"/>
      <c r="I27" s="367"/>
      <c r="J27" s="367"/>
      <c r="K27" s="366"/>
      <c r="L27" s="376"/>
      <c r="M27" s="376"/>
      <c r="N27" s="141" t="s">
        <v>61</v>
      </c>
      <c r="O27" s="142" t="str">
        <f>_xlfn.IFNA(IF(HLOOKUP($A26,PROBAST!$A$6:$AE$77,12,)="Low concern","+",IF(HLOOKUP($A26,PROBAST!$A$6:$AE$77,12,)="High concern","-",IF(HLOOKUP($A26,PROBAST!$A$6:$AE$77,12,)="Unclear","?",""))),"")</f>
        <v>+</v>
      </c>
      <c r="P27" s="142" t="str">
        <f>_xlfn.IFNA(IF(HLOOKUP($A26,PROBAST!$A$6:$AE$77,26,)="Low concern","+",IF(HLOOKUP($A26,PROBAST!$A$6:$AE$77,26,)="High concern","-",IF(HLOOKUP($A26,PROBAST!$A$6:$AE$77,26,)="Unclear","?",""))),"")</f>
        <v>+</v>
      </c>
      <c r="Q27" s="142" t="str">
        <f>_xlfn.IFNA(IF(HLOOKUP($A26,PROBAST!$A$6:$AE$77,40,)="Low concern","+",IF(HLOOKUP($A26,PROBAST!$A$6:$AE$77,40,)="High concern","-",IF(HLOOKUP($A26,PROBAST!$A$6:$AE$77,40,)="Unclear","?",""))),"")</f>
        <v>+</v>
      </c>
      <c r="R27" s="143"/>
    </row>
    <row r="28" spans="1:23" s="140" customFormat="1" ht="22.5" customHeight="1" x14ac:dyDescent="0.25">
      <c r="A28" s="370" t="str">
        <f>CHARMS!AM$6</f>
        <v/>
      </c>
      <c r="B28" s="372" t="str">
        <f>HLOOKUP($A28,CHARMS!$A$6:$CQ$89,1,)</f>
        <v/>
      </c>
      <c r="C28" s="365" t="str">
        <f>IF($A28="","",HLOOKUP($A28,CHARMS!$A$6:$CQ$89,48,))</f>
        <v/>
      </c>
      <c r="D28" s="374" t="str">
        <f>IF($A28="","",IF(HLOOKUP($A28,CHARMS!$A$6:$CQ$89,40,)=0,"Unkown",HLOOKUP($A28,CHARMS!$A$6:$CQ$89,40,)))</f>
        <v/>
      </c>
      <c r="E28" s="365" t="str">
        <f>IF($A28="","",IF(HLOOKUP($A28,CHARMS!$A$6:$CQ$89,40,)=0,"Unkown",CONCATENATE(HLOOKUP($A28,CHARMS!$A$6:$CQ$89,41,)," (",FIXED((HLOOKUP($A28,CHARMS!$A$6:$CQ$89,41,)/HLOOKUP($A28,CHARMS!$A$6:$CQ$89,40,))*100,1),")")))</f>
        <v/>
      </c>
      <c r="F28" s="365" t="str">
        <f>IF($A28="","",IF(HLOOKUP($A28,CHARMS!$A$6:$CQ$89,33,)=0,"Unkown",HLOOKUP($A28,CHARMS!$A$6:$CQ$89,33,)))</f>
        <v/>
      </c>
      <c r="G28" s="365" t="str">
        <f>IF($A28="","",HLOOKUP($A28,CHARMS!$A$6:$CQ$89,79,))</f>
        <v/>
      </c>
      <c r="H28" s="368" t="str">
        <f>IF($A28="","",HLOOKUP($A28,CHARMS!$A$6:$CQ$89,43,))</f>
        <v/>
      </c>
      <c r="I28" s="365" t="str">
        <f>IF($A28="","",HLOOKUP($A28,CHARMS!$A$6:$CQ$89,49,))</f>
        <v/>
      </c>
      <c r="J28" s="365" t="str">
        <f>IF($A28="","",HLOOKUP($A28,CHARMS!$A$6:$CQ$89,50,))</f>
        <v/>
      </c>
      <c r="K28" s="365" t="str">
        <f>CONCATENATE(IF($A28="","",IF(OR(HLOOKUP($A28,CHARMS!$A$6:$CQ$89,40,)=0,ISTEXT(HLOOKUP($A28,CHARMS!$A$6:$CQ$89,45,))),"n (%): Unkown",CONCATENATE("n (%): ",HLOOKUP($A28,CHARMS!$A$6:$CQ$89,45,)," (",FIXED((HLOOKUP($A28,CHARMS!$A$6:$CQ$89,45,)/HLOOKUP($A28,CHARMS!$A$6:$CQ$89,40,))*100,1),")"))),CHAR(10),IF($A28="","",CONCATENATE("Method: ",HLOOKUP($A28,CHARMS!$A$6:$CQ$89,46,))))</f>
        <v xml:space="preserve">
</v>
      </c>
      <c r="L28" s="368" t="str">
        <f>IF($A28="","",CONCATENATE("Int: ",HLOOKUP($A28,CHARMS!$A$6:$CQ$89,75,),CHAR(10),"Ext : ",HLOOKUP($A28,CHARMS!$A$6:$CQ$89,76,)))</f>
        <v/>
      </c>
      <c r="M28" s="368" t="str">
        <f>IF($A28="","",CONCATENATE("Cal: ",HLOOKUP($A28,CHARMS!$A$6:$CQ$89,53,),CHAR(10),"Disc : ",HLOOKUP($A28,CHARMS!$A$6:$CQ$89,59,),CHAR(10),"Ov: ",HLOOKUP($A28,CHARMS!$A$6:$CQ$89,66,)))</f>
        <v/>
      </c>
      <c r="N28" s="136" t="s">
        <v>62</v>
      </c>
      <c r="O28" s="137" t="str">
        <f>_xlfn.IFNA(IF(HLOOKUP($A28,PROBAST!$A$6:$AE$77,11,)="Low RoB","+",IF(HLOOKUP($A28,PROBAST!$A$6:$AE$77,11,)="High RoB","-",IF(HLOOKUP($A28,PROBAST!$A$6:$AE$77,11,)="Unclear","?",""))),"")</f>
        <v/>
      </c>
      <c r="P28" s="137" t="str">
        <f>_xlfn.IFNA(IF(HLOOKUP($A28,PROBAST!$A$6:$AE$77,25,)="Low RoB","+",IF(HLOOKUP($A28,PROBAST!$A$6:$AE$77,25,)="High RoB","-",IF(HLOOKUP($A28,PROBAST!$A$6:$AE$77,25,)="Unclear","?",""))),"")</f>
        <v/>
      </c>
      <c r="Q28" s="137" t="str">
        <f>_xlfn.IFNA(IF(HLOOKUP($A28,PROBAST!$A$6:$AE$77,39,)="Low RoB","+",IF(HLOOKUP($A28,PROBAST!$A$6:$AE$77,39,)="High RoB","-",IF(HLOOKUP($A28,PROBAST!$A$6:$AE$77,39,)="Unclear","?",""))),"")</f>
        <v/>
      </c>
      <c r="R28" s="138" t="str">
        <f>_xlfn.IFNA(IF(HLOOKUP($A28,PROBAST!$A$6:$AE$77,58,)="Low RoB","+",IF(HLOOKUP($A28,PROBAST!$A$6:$AE$77,58,)="High RoB","-",IF(HLOOKUP($A28,PROBAST!$A$6:$AE$77,58,)="Unclear","?",""))),"")</f>
        <v/>
      </c>
      <c r="S28" s="139"/>
      <c r="T28" s="139"/>
      <c r="U28" s="139"/>
      <c r="V28" s="139"/>
      <c r="W28" s="139"/>
    </row>
    <row r="29" spans="1:23" ht="22.5" customHeight="1" thickBot="1" x14ac:dyDescent="0.3">
      <c r="A29" s="370"/>
      <c r="B29" s="377"/>
      <c r="C29" s="367"/>
      <c r="D29" s="378"/>
      <c r="E29" s="367"/>
      <c r="F29" s="367"/>
      <c r="G29" s="367"/>
      <c r="H29" s="376"/>
      <c r="I29" s="367"/>
      <c r="J29" s="367"/>
      <c r="K29" s="366"/>
      <c r="L29" s="376"/>
      <c r="M29" s="376"/>
      <c r="N29" s="141" t="s">
        <v>61</v>
      </c>
      <c r="O29" s="142" t="str">
        <f>_xlfn.IFNA(IF(HLOOKUP($A28,PROBAST!$A$6:$AE$77,12,)="Low concern","+",IF(HLOOKUP($A28,PROBAST!$A$6:$AE$77,12,)="High concern","-",IF(HLOOKUP($A28,PROBAST!$A$6:$AE$77,12,)="Unclear","?",""))),"")</f>
        <v/>
      </c>
      <c r="P29" s="142" t="str">
        <f>_xlfn.IFNA(IF(HLOOKUP($A28,PROBAST!$A$6:$AE$77,26,)="Low concern","+",IF(HLOOKUP($A28,PROBAST!$A$6:$AE$77,26,)="High concern","-",IF(HLOOKUP($A28,PROBAST!$A$6:$AE$77,26,)="Unclear","?",""))),"")</f>
        <v/>
      </c>
      <c r="Q29" s="142" t="str">
        <f>_xlfn.IFNA(IF(HLOOKUP($A28,PROBAST!$A$6:$AE$77,40,)="Low concern","+",IF(HLOOKUP($A28,PROBAST!$A$6:$AE$77,40,)="High concern","-",IF(HLOOKUP($A28,PROBAST!$A$6:$AE$77,40,)="Unclear","?",""))),"")</f>
        <v/>
      </c>
      <c r="R29" s="143"/>
    </row>
    <row r="30" spans="1:23" s="140" customFormat="1" ht="22.5" customHeight="1" x14ac:dyDescent="0.25">
      <c r="A30" s="370" t="str">
        <f>CHARMS!AP$6</f>
        <v/>
      </c>
      <c r="B30" s="372" t="str">
        <f>HLOOKUP($A30,CHARMS!$A$6:$CQ$89,1,)</f>
        <v/>
      </c>
      <c r="C30" s="365" t="str">
        <f>IF($A30="","",HLOOKUP($A30,CHARMS!$A$6:$CQ$89,48,))</f>
        <v/>
      </c>
      <c r="D30" s="374" t="str">
        <f>IF($A30="","",IF(HLOOKUP($A30,CHARMS!$A$6:$CQ$89,40,)=0,"Unkown",HLOOKUP($A30,CHARMS!$A$6:$CQ$89,40,)))</f>
        <v/>
      </c>
      <c r="E30" s="365" t="str">
        <f>IF($A30="","",IF(HLOOKUP($A30,CHARMS!$A$6:$CQ$89,40,)=0,"Unkown",CONCATENATE(HLOOKUP($A30,CHARMS!$A$6:$CQ$89,41,)," (",FIXED((HLOOKUP($A30,CHARMS!$A$6:$CQ$89,41,)/HLOOKUP($A30,CHARMS!$A$6:$CQ$89,40,))*100,1),")")))</f>
        <v/>
      </c>
      <c r="F30" s="365" t="str">
        <f>IF($A30="","",IF(HLOOKUP($A30,CHARMS!$A$6:$CQ$89,33,)=0,"Unkown",HLOOKUP($A30,CHARMS!$A$6:$CQ$89,33,)))</f>
        <v/>
      </c>
      <c r="G30" s="365" t="str">
        <f>IF($A30="","",HLOOKUP($A30,CHARMS!$A$6:$CQ$89,79,))</f>
        <v/>
      </c>
      <c r="H30" s="368" t="str">
        <f>IF($A30="","",HLOOKUP($A30,CHARMS!$A$6:$CQ$89,43,))</f>
        <v/>
      </c>
      <c r="I30" s="365" t="str">
        <f>IF($A30="","",HLOOKUP($A30,CHARMS!$A$6:$CQ$89,49,))</f>
        <v/>
      </c>
      <c r="J30" s="365" t="str">
        <f>IF($A30="","",HLOOKUP($A30,CHARMS!$A$6:$CQ$89,50,))</f>
        <v/>
      </c>
      <c r="K30" s="365" t="str">
        <f>CONCATENATE(IF($A30="","",IF(OR(HLOOKUP($A30,CHARMS!$A$6:$CQ$89,40,)=0,ISTEXT(HLOOKUP($A30,CHARMS!$A$6:$CQ$89,45,))),"n (%): Unkown",CONCATENATE("n (%): ",HLOOKUP($A30,CHARMS!$A$6:$CQ$89,45,)," (",FIXED((HLOOKUP($A30,CHARMS!$A$6:$CQ$89,45,)/HLOOKUP($A30,CHARMS!$A$6:$CQ$89,40,))*100,1),")"))),CHAR(10),IF($A30="","",CONCATENATE("Method: ",HLOOKUP($A30,CHARMS!$A$6:$CQ$89,46,))))</f>
        <v xml:space="preserve">
</v>
      </c>
      <c r="L30" s="368" t="str">
        <f>IF($A30="","",CONCATENATE("Int: ",HLOOKUP($A30,CHARMS!$A$6:$CQ$89,75,),CHAR(10),"Ext : ",HLOOKUP($A30,CHARMS!$A$6:$CQ$89,76,)))</f>
        <v/>
      </c>
      <c r="M30" s="368" t="str">
        <f>IF($A30="","",CONCATENATE("Cal: ",HLOOKUP($A30,CHARMS!$A$6:$CQ$89,53,),CHAR(10),"Disc : ",HLOOKUP($A30,CHARMS!$A$6:$CQ$89,59,),CHAR(10),"Ov: ",HLOOKUP($A30,CHARMS!$A$6:$CQ$89,66,)))</f>
        <v/>
      </c>
      <c r="N30" s="136" t="s">
        <v>62</v>
      </c>
      <c r="O30" s="137" t="str">
        <f>_xlfn.IFNA(IF(HLOOKUP($A30,PROBAST!$A$6:$AE$77,11,)="Low RoB","+",IF(HLOOKUP($A30,PROBAST!$A$6:$AE$77,11,)="High RoB","-",IF(HLOOKUP($A30,PROBAST!$A$6:$AE$77,11,)="Unclear","?",""))),"")</f>
        <v/>
      </c>
      <c r="P30" s="137" t="str">
        <f>_xlfn.IFNA(IF(HLOOKUP($A30,PROBAST!$A$6:$AE$77,25,)="Low RoB","+",IF(HLOOKUP($A30,PROBAST!$A$6:$AE$77,25,)="High RoB","-",IF(HLOOKUP($A30,PROBAST!$A$6:$AE$77,25,)="Unclear","?",""))),"")</f>
        <v/>
      </c>
      <c r="Q30" s="137" t="str">
        <f>_xlfn.IFNA(IF(HLOOKUP($A30,PROBAST!$A$6:$AE$77,39,)="Low RoB","+",IF(HLOOKUP($A30,PROBAST!$A$6:$AE$77,39,)="High RoB","-",IF(HLOOKUP($A30,PROBAST!$A$6:$AE$77,39,)="Unclear","?",""))),"")</f>
        <v/>
      </c>
      <c r="R30" s="138" t="str">
        <f>_xlfn.IFNA(IF(HLOOKUP($A30,PROBAST!$A$6:$AE$77,58,)="Low RoB","+",IF(HLOOKUP($A30,PROBAST!$A$6:$AE$77,58,)="High RoB","-",IF(HLOOKUP($A30,PROBAST!$A$6:$AE$77,58,)="Unclear","?",""))),"")</f>
        <v/>
      </c>
      <c r="S30" s="139"/>
      <c r="T30" s="139"/>
      <c r="U30" s="139"/>
      <c r="V30" s="139"/>
      <c r="W30" s="139"/>
    </row>
    <row r="31" spans="1:23" ht="22.5" customHeight="1" thickBot="1" x14ac:dyDescent="0.3">
      <c r="A31" s="370"/>
      <c r="B31" s="377"/>
      <c r="C31" s="367"/>
      <c r="D31" s="378"/>
      <c r="E31" s="367"/>
      <c r="F31" s="367"/>
      <c r="G31" s="367"/>
      <c r="H31" s="376"/>
      <c r="I31" s="367"/>
      <c r="J31" s="367"/>
      <c r="K31" s="366"/>
      <c r="L31" s="376"/>
      <c r="M31" s="376"/>
      <c r="N31" s="141" t="s">
        <v>61</v>
      </c>
      <c r="O31" s="142" t="str">
        <f>_xlfn.IFNA(IF(HLOOKUP($A30,PROBAST!$A$6:$AE$77,12,)="Low concern","+",IF(HLOOKUP($A30,PROBAST!$A$6:$AE$77,12,)="High concern","-",IF(HLOOKUP($A30,PROBAST!$A$6:$AE$77,12,)="Unclear","?",""))),"")</f>
        <v/>
      </c>
      <c r="P31" s="142" t="str">
        <f>_xlfn.IFNA(IF(HLOOKUP($A30,PROBAST!$A$6:$AE$77,26,)="Low concern","+",IF(HLOOKUP($A30,PROBAST!$A$6:$AE$77,26,)="High concern","-",IF(HLOOKUP($A30,PROBAST!$A$6:$AE$77,26,)="Unclear","?",""))),"")</f>
        <v/>
      </c>
      <c r="Q31" s="142" t="str">
        <f>_xlfn.IFNA(IF(HLOOKUP($A30,PROBAST!$A$6:$AE$77,40,)="Low concern","+",IF(HLOOKUP($A30,PROBAST!$A$6:$AE$77,40,)="High concern","-",IF(HLOOKUP($A30,PROBAST!$A$6:$AE$77,40,)="Unclear","?",""))),"")</f>
        <v/>
      </c>
      <c r="R31" s="143"/>
    </row>
    <row r="32" spans="1:23" s="140" customFormat="1" ht="22.5" customHeight="1" x14ac:dyDescent="0.25">
      <c r="A32" s="370" t="str">
        <f>CHARMS!AS$6</f>
        <v/>
      </c>
      <c r="B32" s="372" t="str">
        <f>HLOOKUP($A32,CHARMS!$A$6:$CQ$89,1,)</f>
        <v/>
      </c>
      <c r="C32" s="365" t="str">
        <f>IF($A32="","",HLOOKUP($A32,CHARMS!$A$6:$CQ$89,48,))</f>
        <v/>
      </c>
      <c r="D32" s="374" t="str">
        <f>IF($A32="","",IF(HLOOKUP($A32,CHARMS!$A$6:$CQ$89,40,)=0,"Unkown",HLOOKUP($A32,CHARMS!$A$6:$CQ$89,40,)))</f>
        <v/>
      </c>
      <c r="E32" s="365" t="str">
        <f>IF($A32="","",IF(HLOOKUP($A32,CHARMS!$A$6:$CQ$89,40,)=0,"Unkown",CONCATENATE(HLOOKUP($A32,CHARMS!$A$6:$CQ$89,41,)," (",FIXED((HLOOKUP($A32,CHARMS!$A$6:$CQ$89,41,)/HLOOKUP($A32,CHARMS!$A$6:$CQ$89,40,))*100,1),")")))</f>
        <v/>
      </c>
      <c r="F32" s="365" t="str">
        <f>IF($A32="","",IF(HLOOKUP($A32,CHARMS!$A$6:$CQ$89,33,)=0,"Unkown",HLOOKUP($A32,CHARMS!$A$6:$CQ$89,33,)))</f>
        <v/>
      </c>
      <c r="G32" s="365" t="str">
        <f>IF($A32="","",HLOOKUP($A32,CHARMS!$A$6:$CQ$89,79,))</f>
        <v/>
      </c>
      <c r="H32" s="368" t="str">
        <f>IF($A32="","",HLOOKUP($A32,CHARMS!$A$6:$CQ$89,43,))</f>
        <v/>
      </c>
      <c r="I32" s="365" t="str">
        <f>IF($A32="","",HLOOKUP($A32,CHARMS!$A$6:$CQ$89,49,))</f>
        <v/>
      </c>
      <c r="J32" s="365" t="str">
        <f>IF($A32="","",HLOOKUP($A32,CHARMS!$A$6:$CQ$89,50,))</f>
        <v/>
      </c>
      <c r="K32" s="365" t="str">
        <f>CONCATENATE(IF($A32="","",IF(OR(HLOOKUP($A32,CHARMS!$A$6:$CQ$89,40,)=0,ISTEXT(HLOOKUP($A32,CHARMS!$A$6:$CQ$89,45,))),"n (%): Unkown",CONCATENATE("n (%): ",HLOOKUP($A32,CHARMS!$A$6:$CQ$89,45,)," (",FIXED((HLOOKUP($A32,CHARMS!$A$6:$CQ$89,45,)/HLOOKUP($A32,CHARMS!$A$6:$CQ$89,40,))*100,1),")"))),CHAR(10),IF($A32="","",CONCATENATE("Method: ",HLOOKUP($A32,CHARMS!$A$6:$CQ$89,46,))))</f>
        <v xml:space="preserve">
</v>
      </c>
      <c r="L32" s="368" t="str">
        <f>IF($A32="","",CONCATENATE("Int: ",HLOOKUP($A32,CHARMS!$A$6:$CQ$89,75,),CHAR(10),"Ext : ",HLOOKUP($A32,CHARMS!$A$6:$CQ$89,76,)))</f>
        <v/>
      </c>
      <c r="M32" s="368" t="str">
        <f>IF($A32="","",CONCATENATE("Cal: ",HLOOKUP($A32,CHARMS!$A$6:$CQ$89,53,),CHAR(10),"Disc : ",HLOOKUP($A32,CHARMS!$A$6:$CQ$89,59,),CHAR(10),"Ov: ",HLOOKUP($A32,CHARMS!$A$6:$CQ$89,66,)))</f>
        <v/>
      </c>
      <c r="N32" s="136" t="s">
        <v>62</v>
      </c>
      <c r="O32" s="137" t="str">
        <f>_xlfn.IFNA(IF(HLOOKUP($A32,PROBAST!$A$6:$AE$77,11,)="Low RoB","+",IF(HLOOKUP($A32,PROBAST!$A$6:$AE$77,11,)="High RoB","-",IF(HLOOKUP($A32,PROBAST!$A$6:$AE$77,11,)="Unclear","?",""))),"")</f>
        <v/>
      </c>
      <c r="P32" s="137" t="str">
        <f>_xlfn.IFNA(IF(HLOOKUP($A32,PROBAST!$A$6:$AE$77,25,)="Low RoB","+",IF(HLOOKUP($A32,PROBAST!$A$6:$AE$77,25,)="High RoB","-",IF(HLOOKUP($A32,PROBAST!$A$6:$AE$77,25,)="Unclear","?",""))),"")</f>
        <v/>
      </c>
      <c r="Q32" s="137" t="str">
        <f>_xlfn.IFNA(IF(HLOOKUP($A32,PROBAST!$A$6:$AE$77,39,)="Low RoB","+",IF(HLOOKUP($A32,PROBAST!$A$6:$AE$77,39,)="High RoB","-",IF(HLOOKUP($A32,PROBAST!$A$6:$AE$77,39,)="Unclear","?",""))),"")</f>
        <v/>
      </c>
      <c r="R32" s="138" t="str">
        <f>_xlfn.IFNA(IF(HLOOKUP($A32,PROBAST!$A$6:$AE$77,58,)="Low RoB","+",IF(HLOOKUP($A32,PROBAST!$A$6:$AE$77,58,)="High RoB","-",IF(HLOOKUP($A32,PROBAST!$A$6:$AE$77,58,)="Unclear","?",""))),"")</f>
        <v/>
      </c>
      <c r="S32" s="139"/>
      <c r="T32" s="139"/>
      <c r="U32" s="139"/>
      <c r="V32" s="139"/>
      <c r="W32" s="139"/>
    </row>
    <row r="33" spans="1:23" ht="22.5" customHeight="1" thickBot="1" x14ac:dyDescent="0.3">
      <c r="A33" s="370"/>
      <c r="B33" s="377"/>
      <c r="C33" s="367"/>
      <c r="D33" s="378"/>
      <c r="E33" s="367"/>
      <c r="F33" s="367"/>
      <c r="G33" s="367"/>
      <c r="H33" s="376"/>
      <c r="I33" s="367"/>
      <c r="J33" s="367"/>
      <c r="K33" s="366"/>
      <c r="L33" s="376"/>
      <c r="M33" s="376"/>
      <c r="N33" s="141" t="s">
        <v>61</v>
      </c>
      <c r="O33" s="142" t="str">
        <f>_xlfn.IFNA(IF(HLOOKUP($A32,PROBAST!$A$6:$AE$77,12,)="Low concern","+",IF(HLOOKUP($A32,PROBAST!$A$6:$AE$77,12,)="High concern","-",IF(HLOOKUP($A32,PROBAST!$A$6:$AE$77,12,)="Unclear","?",""))),"")</f>
        <v/>
      </c>
      <c r="P33" s="142" t="str">
        <f>_xlfn.IFNA(IF(HLOOKUP($A32,PROBAST!$A$6:$AE$77,26,)="Low concern","+",IF(HLOOKUP($A32,PROBAST!$A$6:$AE$77,26,)="High concern","-",IF(HLOOKUP($A32,PROBAST!$A$6:$AE$77,26,)="Unclear","?",""))),"")</f>
        <v/>
      </c>
      <c r="Q33" s="142" t="str">
        <f>_xlfn.IFNA(IF(HLOOKUP($A32,PROBAST!$A$6:$AE$77,40,)="Low concern","+",IF(HLOOKUP($A32,PROBAST!$A$6:$AE$77,40,)="High concern","-",IF(HLOOKUP($A32,PROBAST!$A$6:$AE$77,40,)="Unclear","?",""))),"")</f>
        <v/>
      </c>
      <c r="R33" s="143"/>
    </row>
    <row r="34" spans="1:23" s="140" customFormat="1" ht="22.5" customHeight="1" x14ac:dyDescent="0.25">
      <c r="A34" s="370" t="str">
        <f>CHARMS!AV$6</f>
        <v/>
      </c>
      <c r="B34" s="372" t="str">
        <f>HLOOKUP($A34,CHARMS!$A$6:$CQ$89,1,)</f>
        <v/>
      </c>
      <c r="C34" s="365" t="str">
        <f>IF($A34="","",HLOOKUP($A34,CHARMS!$A$6:$CQ$89,48,))</f>
        <v/>
      </c>
      <c r="D34" s="374" t="str">
        <f>IF($A34="","",IF(HLOOKUP($A34,CHARMS!$A$6:$CQ$89,40,)=0,"Unkown",HLOOKUP($A34,CHARMS!$A$6:$CQ$89,40,)))</f>
        <v/>
      </c>
      <c r="E34" s="365" t="str">
        <f>IF($A34="","",IF(HLOOKUP($A34,CHARMS!$A$6:$CQ$89,40,)=0,"Unkown",CONCATENATE(HLOOKUP($A34,CHARMS!$A$6:$CQ$89,41,)," (",FIXED((HLOOKUP($A34,CHARMS!$A$6:$CQ$89,41,)/HLOOKUP($A34,CHARMS!$A$6:$CQ$89,40,))*100,1),")")))</f>
        <v/>
      </c>
      <c r="F34" s="365" t="str">
        <f>IF($A34="","",IF(HLOOKUP($A34,CHARMS!$A$6:$CQ$89,33,)=0,"Unkown",HLOOKUP($A34,CHARMS!$A$6:$CQ$89,33,)))</f>
        <v/>
      </c>
      <c r="G34" s="365" t="str">
        <f>IF($A34="","",HLOOKUP($A34,CHARMS!$A$6:$CQ$89,79,))</f>
        <v/>
      </c>
      <c r="H34" s="368" t="str">
        <f>IF($A34="","",HLOOKUP($A34,CHARMS!$A$6:$CQ$89,43,))</f>
        <v/>
      </c>
      <c r="I34" s="365" t="str">
        <f>IF($A34="","",HLOOKUP($A34,CHARMS!$A$6:$CQ$89,49,))</f>
        <v/>
      </c>
      <c r="J34" s="365" t="str">
        <f>IF($A34="","",HLOOKUP($A34,CHARMS!$A$6:$CQ$89,50,))</f>
        <v/>
      </c>
      <c r="K34" s="365" t="str">
        <f>CONCATENATE(IF($A34="","",IF(OR(HLOOKUP($A34,CHARMS!$A$6:$CQ$89,40,)=0,ISTEXT(HLOOKUP($A34,CHARMS!$A$6:$CQ$89,45,))),"n (%): Unkown",CONCATENATE("n (%): ",HLOOKUP($A34,CHARMS!$A$6:$CQ$89,45,)," (",FIXED((HLOOKUP($A34,CHARMS!$A$6:$CQ$89,45,)/HLOOKUP($A34,CHARMS!$A$6:$CQ$89,40,))*100,1),")"))),CHAR(10),IF($A34="","",CONCATENATE("Method: ",HLOOKUP($A34,CHARMS!$A$6:$CQ$89,46,))))</f>
        <v xml:space="preserve">
</v>
      </c>
      <c r="L34" s="368" t="str">
        <f>IF($A34="","",CONCATENATE("Int: ",HLOOKUP($A34,CHARMS!$A$6:$CQ$89,75,),CHAR(10),"Ext : ",HLOOKUP($A34,CHARMS!$A$6:$CQ$89,76,)))</f>
        <v/>
      </c>
      <c r="M34" s="368" t="str">
        <f>IF($A34="","",CONCATENATE("Cal: ",HLOOKUP($A34,CHARMS!$A$6:$CQ$89,53,),CHAR(10),"Disc : ",HLOOKUP($A34,CHARMS!$A$6:$CQ$89,59,),CHAR(10),"Ov: ",HLOOKUP($A34,CHARMS!$A$6:$CQ$89,66,)))</f>
        <v/>
      </c>
      <c r="N34" s="136" t="s">
        <v>62</v>
      </c>
      <c r="O34" s="137" t="str">
        <f>_xlfn.IFNA(IF(HLOOKUP($A34,PROBAST!$A$6:$AE$77,11,)="Low RoB","+",IF(HLOOKUP($A34,PROBAST!$A$6:$AE$77,11,)="High RoB","-",IF(HLOOKUP($A34,PROBAST!$A$6:$AE$77,11,)="Unclear","?",""))),"")</f>
        <v/>
      </c>
      <c r="P34" s="137" t="str">
        <f>_xlfn.IFNA(IF(HLOOKUP($A34,PROBAST!$A$6:$AE$77,25,)="Low RoB","+",IF(HLOOKUP($A34,PROBAST!$A$6:$AE$77,25,)="High RoB","-",IF(HLOOKUP($A34,PROBAST!$A$6:$AE$77,25,)="Unclear","?",""))),"")</f>
        <v/>
      </c>
      <c r="Q34" s="137" t="str">
        <f>_xlfn.IFNA(IF(HLOOKUP($A34,PROBAST!$A$6:$AE$77,39,)="Low RoB","+",IF(HLOOKUP($A34,PROBAST!$A$6:$AE$77,39,)="High RoB","-",IF(HLOOKUP($A34,PROBAST!$A$6:$AE$77,39,)="Unclear","?",""))),"")</f>
        <v/>
      </c>
      <c r="R34" s="138" t="str">
        <f>_xlfn.IFNA(IF(HLOOKUP($A34,PROBAST!$A$6:$AE$77,58,)="Low RoB","+",IF(HLOOKUP($A34,PROBAST!$A$6:$AE$77,58,)="High RoB","-",IF(HLOOKUP($A34,PROBAST!$A$6:$AE$77,58,)="Unclear","?",""))),"")</f>
        <v/>
      </c>
      <c r="S34" s="139"/>
      <c r="T34" s="139"/>
      <c r="U34" s="139"/>
      <c r="V34" s="139"/>
      <c r="W34" s="139"/>
    </row>
    <row r="35" spans="1:23" ht="22.5" customHeight="1" thickBot="1" x14ac:dyDescent="0.3">
      <c r="A35" s="370"/>
      <c r="B35" s="377"/>
      <c r="C35" s="367"/>
      <c r="D35" s="378"/>
      <c r="E35" s="367"/>
      <c r="F35" s="367"/>
      <c r="G35" s="367"/>
      <c r="H35" s="376"/>
      <c r="I35" s="367"/>
      <c r="J35" s="367"/>
      <c r="K35" s="366"/>
      <c r="L35" s="376"/>
      <c r="M35" s="376"/>
      <c r="N35" s="141" t="s">
        <v>61</v>
      </c>
      <c r="O35" s="142" t="str">
        <f>_xlfn.IFNA(IF(HLOOKUP($A34,PROBAST!$A$6:$AE$77,12,)="Low concern","+",IF(HLOOKUP($A34,PROBAST!$A$6:$AE$77,12,)="High concern","-",IF(HLOOKUP($A34,PROBAST!$A$6:$AE$77,12,)="Unclear","?",""))),"")</f>
        <v/>
      </c>
      <c r="P35" s="142" t="str">
        <f>_xlfn.IFNA(IF(HLOOKUP($A34,PROBAST!$A$6:$AE$77,26,)="Low concern","+",IF(HLOOKUP($A34,PROBAST!$A$6:$AE$77,26,)="High concern","-",IF(HLOOKUP($A34,PROBAST!$A$6:$AE$77,26,)="Unclear","?",""))),"")</f>
        <v/>
      </c>
      <c r="Q35" s="142" t="str">
        <f>_xlfn.IFNA(IF(HLOOKUP($A34,PROBAST!$A$6:$AE$77,40,)="Low concern","+",IF(HLOOKUP($A34,PROBAST!$A$6:$AE$77,40,)="High concern","-",IF(HLOOKUP($A34,PROBAST!$A$6:$AE$77,40,)="Unclear","?",""))),"")</f>
        <v/>
      </c>
      <c r="R35" s="143"/>
    </row>
    <row r="36" spans="1:23" s="140" customFormat="1" ht="22.5" customHeight="1" x14ac:dyDescent="0.25">
      <c r="A36" s="370" t="str">
        <f>CHARMS!AY$6</f>
        <v/>
      </c>
      <c r="B36" s="372" t="str">
        <f>HLOOKUP($A36,CHARMS!$A$6:$CQ$89,1,)</f>
        <v/>
      </c>
      <c r="C36" s="365" t="str">
        <f>IF($A36="","",HLOOKUP($A36,CHARMS!$A$6:$CQ$89,48,))</f>
        <v/>
      </c>
      <c r="D36" s="374" t="str">
        <f>IF($A36="","",IF(HLOOKUP($A36,CHARMS!$A$6:$CQ$89,40,)=0,"Unkown",HLOOKUP($A36,CHARMS!$A$6:$CQ$89,40,)))</f>
        <v/>
      </c>
      <c r="E36" s="365" t="str">
        <f>IF($A36="","",IF(HLOOKUP($A36,CHARMS!$A$6:$CQ$89,40,)=0,"Unkown",CONCATENATE(HLOOKUP($A36,CHARMS!$A$6:$CQ$89,41,)," (",FIXED((HLOOKUP($A36,CHARMS!$A$6:$CQ$89,41,)/HLOOKUP($A36,CHARMS!$A$6:$CQ$89,40,))*100,1),")")))</f>
        <v/>
      </c>
      <c r="F36" s="365" t="str">
        <f>IF($A36="","",IF(HLOOKUP($A36,CHARMS!$A$6:$CQ$89,33,)=0,"Unkown",HLOOKUP($A36,CHARMS!$A$6:$CQ$89,33,)))</f>
        <v/>
      </c>
      <c r="G36" s="365" t="str">
        <f>IF($A36="","",HLOOKUP($A36,CHARMS!$A$6:$CQ$89,79,))</f>
        <v/>
      </c>
      <c r="H36" s="368" t="str">
        <f>IF($A36="","",HLOOKUP($A36,CHARMS!$A$6:$CQ$89,43,))</f>
        <v/>
      </c>
      <c r="I36" s="365" t="str">
        <f>IF($A36="","",HLOOKUP($A36,CHARMS!$A$6:$CQ$89,49,))</f>
        <v/>
      </c>
      <c r="J36" s="365" t="str">
        <f>IF($A36="","",HLOOKUP($A36,CHARMS!$A$6:$CQ$89,50,))</f>
        <v/>
      </c>
      <c r="K36" s="365" t="str">
        <f>CONCATENATE(IF($A36="","",IF(OR(HLOOKUP($A36,CHARMS!$A$6:$CQ$89,40,)=0,ISTEXT(HLOOKUP($A36,CHARMS!$A$6:$CQ$89,45,))),"n (%): Unkown",CONCATENATE("n (%): ",HLOOKUP($A36,CHARMS!$A$6:$CQ$89,45,)," (",FIXED((HLOOKUP($A36,CHARMS!$A$6:$CQ$89,45,)/HLOOKUP($A36,CHARMS!$A$6:$CQ$89,40,))*100,1),")"))),CHAR(10),IF($A36="","",CONCATENATE("Method: ",HLOOKUP($A36,CHARMS!$A$6:$CQ$89,46,))))</f>
        <v xml:space="preserve">
</v>
      </c>
      <c r="L36" s="368" t="str">
        <f>IF($A36="","",CONCATENATE("Int: ",HLOOKUP($A36,CHARMS!$A$6:$CQ$89,75,),CHAR(10),"Ext : ",HLOOKUP($A36,CHARMS!$A$6:$CQ$89,76,)))</f>
        <v/>
      </c>
      <c r="M36" s="368" t="str">
        <f>IF($A36="","",CONCATENATE("Cal: ",HLOOKUP($A36,CHARMS!$A$6:$CQ$89,53,),CHAR(10),"Disc : ",HLOOKUP($A36,CHARMS!$A$6:$CQ$89,59,),CHAR(10),"Ov: ",HLOOKUP($A36,CHARMS!$A$6:$CQ$89,66,)))</f>
        <v/>
      </c>
      <c r="N36" s="136" t="s">
        <v>62</v>
      </c>
      <c r="O36" s="137" t="str">
        <f>_xlfn.IFNA(IF(HLOOKUP($A36,PROBAST!$A$6:$AE$77,11,)="Low RoB","+",IF(HLOOKUP($A36,PROBAST!$A$6:$AE$77,11,)="High RoB","-",IF(HLOOKUP($A36,PROBAST!$A$6:$AE$77,11,)="Unclear","?",""))),"")</f>
        <v/>
      </c>
      <c r="P36" s="137" t="str">
        <f>_xlfn.IFNA(IF(HLOOKUP($A36,PROBAST!$A$6:$AE$77,25,)="Low RoB","+",IF(HLOOKUP($A36,PROBAST!$A$6:$AE$77,25,)="High RoB","-",IF(HLOOKUP($A36,PROBAST!$A$6:$AE$77,25,)="Unclear","?",""))),"")</f>
        <v/>
      </c>
      <c r="Q36" s="137" t="str">
        <f>_xlfn.IFNA(IF(HLOOKUP($A36,PROBAST!$A$6:$AE$77,39,)="Low RoB","+",IF(HLOOKUP($A36,PROBAST!$A$6:$AE$77,39,)="High RoB","-",IF(HLOOKUP($A36,PROBAST!$A$6:$AE$77,39,)="Unclear","?",""))),"")</f>
        <v/>
      </c>
      <c r="R36" s="138" t="str">
        <f>_xlfn.IFNA(IF(HLOOKUP($A36,PROBAST!$A$6:$AE$77,58,)="Low RoB","+",IF(HLOOKUP($A36,PROBAST!$A$6:$AE$77,58,)="High RoB","-",IF(HLOOKUP($A36,PROBAST!$A$6:$AE$77,58,)="Unclear","?",""))),"")</f>
        <v/>
      </c>
      <c r="S36" s="139"/>
      <c r="T36" s="139"/>
      <c r="U36" s="139"/>
      <c r="V36" s="139"/>
      <c r="W36" s="139"/>
    </row>
    <row r="37" spans="1:23" ht="22.5" customHeight="1" thickBot="1" x14ac:dyDescent="0.3">
      <c r="A37" s="370"/>
      <c r="B37" s="377"/>
      <c r="C37" s="367"/>
      <c r="D37" s="378"/>
      <c r="E37" s="367"/>
      <c r="F37" s="367"/>
      <c r="G37" s="367"/>
      <c r="H37" s="376"/>
      <c r="I37" s="367"/>
      <c r="J37" s="367"/>
      <c r="K37" s="366"/>
      <c r="L37" s="376"/>
      <c r="M37" s="376"/>
      <c r="N37" s="141" t="s">
        <v>61</v>
      </c>
      <c r="O37" s="142" t="str">
        <f>_xlfn.IFNA(IF(HLOOKUP($A36,PROBAST!$A$6:$AE$77,12,)="Low concern","+",IF(HLOOKUP($A36,PROBAST!$A$6:$AE$77,12,)="High concern","-",IF(HLOOKUP($A36,PROBAST!$A$6:$AE$77,12,)="Unclear","?",""))),"")</f>
        <v/>
      </c>
      <c r="P37" s="142" t="str">
        <f>_xlfn.IFNA(IF(HLOOKUP($A36,PROBAST!$A$6:$AE$77,26,)="Low concern","+",IF(HLOOKUP($A36,PROBAST!$A$6:$AE$77,26,)="High concern","-",IF(HLOOKUP($A36,PROBAST!$A$6:$AE$77,26,)="Unclear","?",""))),"")</f>
        <v/>
      </c>
      <c r="Q37" s="142" t="str">
        <f>_xlfn.IFNA(IF(HLOOKUP($A36,PROBAST!$A$6:$AE$77,40,)="Low concern","+",IF(HLOOKUP($A36,PROBAST!$A$6:$AE$77,40,)="High concern","-",IF(HLOOKUP($A36,PROBAST!$A$6:$AE$77,40,)="Unclear","?",""))),"")</f>
        <v/>
      </c>
      <c r="R37" s="143"/>
    </row>
    <row r="38" spans="1:23" s="140" customFormat="1" ht="22.5" customHeight="1" x14ac:dyDescent="0.25">
      <c r="A38" s="370" t="str">
        <f>CHARMS!BB$6</f>
        <v/>
      </c>
      <c r="B38" s="372" t="str">
        <f>HLOOKUP($A38,CHARMS!$A$6:$CQ$89,1,)</f>
        <v/>
      </c>
      <c r="C38" s="365" t="str">
        <f>IF($A38="","",HLOOKUP($A38,CHARMS!$A$6:$CQ$89,48,))</f>
        <v/>
      </c>
      <c r="D38" s="374" t="str">
        <f>IF($A38="","",IF(HLOOKUP($A38,CHARMS!$A$6:$CQ$89,40,)=0,"Unkown",HLOOKUP($A38,CHARMS!$A$6:$CQ$89,40,)))</f>
        <v/>
      </c>
      <c r="E38" s="365" t="str">
        <f>IF($A38="","",IF(HLOOKUP($A38,CHARMS!$A$6:$CQ$89,40,)=0,"Unkown",CONCATENATE(HLOOKUP($A38,CHARMS!$A$6:$CQ$89,41,)," (",FIXED((HLOOKUP($A38,CHARMS!$A$6:$CQ$89,41,)/HLOOKUP($A38,CHARMS!$A$6:$CQ$89,40,))*100,1),")")))</f>
        <v/>
      </c>
      <c r="F38" s="365" t="str">
        <f>IF($A38="","",IF(HLOOKUP($A38,CHARMS!$A$6:$CQ$89,33,)=0,"Unkown",HLOOKUP($A38,CHARMS!$A$6:$CQ$89,33,)))</f>
        <v/>
      </c>
      <c r="G38" s="365" t="str">
        <f>IF($A38="","",HLOOKUP($A38,CHARMS!$A$6:$CQ$89,79,))</f>
        <v/>
      </c>
      <c r="H38" s="368" t="str">
        <f>IF($A38="","",HLOOKUP($A38,CHARMS!$A$6:$CQ$89,43,))</f>
        <v/>
      </c>
      <c r="I38" s="365" t="str">
        <f>IF($A38="","",HLOOKUP($A38,CHARMS!$A$6:$CQ$89,49,))</f>
        <v/>
      </c>
      <c r="J38" s="365" t="str">
        <f>IF($A38="","",HLOOKUP($A38,CHARMS!$A$6:$CQ$89,50,))</f>
        <v/>
      </c>
      <c r="K38" s="365" t="str">
        <f>CONCATENATE(IF($A38="","",IF(OR(HLOOKUP($A38,CHARMS!$A$6:$CQ$89,40,)=0,ISTEXT(HLOOKUP($A38,CHARMS!$A$6:$CQ$89,45,))),"n (%): Unkown",CONCATENATE("n (%): ",HLOOKUP($A38,CHARMS!$A$6:$CQ$89,45,)," (",FIXED((HLOOKUP($A38,CHARMS!$A$6:$CQ$89,45,)/HLOOKUP($A38,CHARMS!$A$6:$CQ$89,40,))*100,1),")"))),CHAR(10),IF($A38="","",CONCATENATE("Method: ",HLOOKUP($A38,CHARMS!$A$6:$CQ$89,46,))))</f>
        <v xml:space="preserve">
</v>
      </c>
      <c r="L38" s="368" t="str">
        <f>IF($A38="","",CONCATENATE("Int: ",HLOOKUP($A38,CHARMS!$A$6:$CQ$89,75,),CHAR(10),"Ext : ",HLOOKUP($A38,CHARMS!$A$6:$CQ$89,76,)))</f>
        <v/>
      </c>
      <c r="M38" s="368" t="str">
        <f>IF($A38="","",CONCATENATE("Cal: ",HLOOKUP($A38,CHARMS!$A$6:$CQ$89,53,),CHAR(10),"Disc : ",HLOOKUP($A38,CHARMS!$A$6:$CQ$89,59,),CHAR(10),"Ov: ",HLOOKUP($A38,CHARMS!$A$6:$CQ$89,66,)))</f>
        <v/>
      </c>
      <c r="N38" s="136" t="s">
        <v>62</v>
      </c>
      <c r="O38" s="137" t="str">
        <f>_xlfn.IFNA(IF(HLOOKUP($A38,PROBAST!$A$6:$AE$77,11,)="Low RoB","+",IF(HLOOKUP($A38,PROBAST!$A$6:$AE$77,11,)="High RoB","-",IF(HLOOKUP($A38,PROBAST!$A$6:$AE$77,11,)="Unclear","?",""))),"")</f>
        <v/>
      </c>
      <c r="P38" s="137" t="str">
        <f>_xlfn.IFNA(IF(HLOOKUP($A38,PROBAST!$A$6:$AE$77,25,)="Low RoB","+",IF(HLOOKUP($A38,PROBAST!$A$6:$AE$77,25,)="High RoB","-",IF(HLOOKUP($A38,PROBAST!$A$6:$AE$77,25,)="Unclear","?",""))),"")</f>
        <v/>
      </c>
      <c r="Q38" s="137" t="str">
        <f>_xlfn.IFNA(IF(HLOOKUP($A38,PROBAST!$A$6:$AE$77,39,)="Low RoB","+",IF(HLOOKUP($A38,PROBAST!$A$6:$AE$77,39,)="High RoB","-",IF(HLOOKUP($A38,PROBAST!$A$6:$AE$77,39,)="Unclear","?",""))),"")</f>
        <v/>
      </c>
      <c r="R38" s="138" t="str">
        <f>_xlfn.IFNA(IF(HLOOKUP($A38,PROBAST!$A$6:$AE$77,58,)="Low RoB","+",IF(HLOOKUP($A38,PROBAST!$A$6:$AE$77,58,)="High RoB","-",IF(HLOOKUP($A38,PROBAST!$A$6:$AE$77,58,)="Unclear","?",""))),"")</f>
        <v/>
      </c>
      <c r="S38" s="139"/>
      <c r="T38" s="139"/>
      <c r="U38" s="139"/>
      <c r="V38" s="139"/>
      <c r="W38" s="139"/>
    </row>
    <row r="39" spans="1:23" ht="22.5" customHeight="1" thickBot="1" x14ac:dyDescent="0.3">
      <c r="A39" s="370"/>
      <c r="B39" s="377"/>
      <c r="C39" s="367"/>
      <c r="D39" s="378"/>
      <c r="E39" s="367"/>
      <c r="F39" s="367"/>
      <c r="G39" s="367"/>
      <c r="H39" s="376"/>
      <c r="I39" s="367"/>
      <c r="J39" s="367"/>
      <c r="K39" s="366"/>
      <c r="L39" s="376"/>
      <c r="M39" s="376"/>
      <c r="N39" s="141" t="s">
        <v>61</v>
      </c>
      <c r="O39" s="142" t="str">
        <f>_xlfn.IFNA(IF(HLOOKUP($A38,PROBAST!$A$6:$AE$77,12,)="Low concern","+",IF(HLOOKUP($A38,PROBAST!$A$6:$AE$77,12,)="High concern","-",IF(HLOOKUP($A38,PROBAST!$A$6:$AE$77,12,)="Unclear","?",""))),"")</f>
        <v/>
      </c>
      <c r="P39" s="142" t="str">
        <f>_xlfn.IFNA(IF(HLOOKUP($A38,PROBAST!$A$6:$AE$77,26,)="Low concern","+",IF(HLOOKUP($A38,PROBAST!$A$6:$AE$77,26,)="High concern","-",IF(HLOOKUP($A38,PROBAST!$A$6:$AE$77,26,)="Unclear","?",""))),"")</f>
        <v/>
      </c>
      <c r="Q39" s="142" t="str">
        <f>_xlfn.IFNA(IF(HLOOKUP($A38,PROBAST!$A$6:$AE$77,40,)="Low concern","+",IF(HLOOKUP($A38,PROBAST!$A$6:$AE$77,40,)="High concern","-",IF(HLOOKUP($A38,PROBAST!$A$6:$AE$77,40,)="Unclear","?",""))),"")</f>
        <v/>
      </c>
      <c r="R39" s="143"/>
    </row>
    <row r="40" spans="1:23" s="140" customFormat="1" ht="22.5" customHeight="1" x14ac:dyDescent="0.25">
      <c r="A40" s="370" t="str">
        <f>CHARMS!BE$6</f>
        <v/>
      </c>
      <c r="B40" s="372" t="str">
        <f>HLOOKUP($A40,CHARMS!$A$6:$CQ$89,1,)</f>
        <v/>
      </c>
      <c r="C40" s="365" t="str">
        <f>IF($A40="","",HLOOKUP($A40,CHARMS!$A$6:$CQ$89,48,))</f>
        <v/>
      </c>
      <c r="D40" s="374" t="str">
        <f>IF($A40="","",IF(HLOOKUP($A40,CHARMS!$A$6:$CQ$89,40,)=0,"Unkown",HLOOKUP($A40,CHARMS!$A$6:$CQ$89,40,)))</f>
        <v/>
      </c>
      <c r="E40" s="365" t="str">
        <f>IF($A40="","",IF(HLOOKUP($A40,CHARMS!$A$6:$CQ$89,40,)=0,"Unkown",CONCATENATE(HLOOKUP($A40,CHARMS!$A$6:$CQ$89,41,)," (",FIXED((HLOOKUP($A40,CHARMS!$A$6:$CQ$89,41,)/HLOOKUP($A40,CHARMS!$A$6:$CQ$89,40,))*100,1),")")))</f>
        <v/>
      </c>
      <c r="F40" s="365" t="str">
        <f>IF($A40="","",IF(HLOOKUP($A40,CHARMS!$A$6:$CQ$89,33,)=0,"Unkown",HLOOKUP($A40,CHARMS!$A$6:$CQ$89,33,)))</f>
        <v/>
      </c>
      <c r="G40" s="365" t="str">
        <f>IF($A40="","",HLOOKUP($A40,CHARMS!$A$6:$CQ$89,79,))</f>
        <v/>
      </c>
      <c r="H40" s="368" t="str">
        <f>IF($A40="","",HLOOKUP($A40,CHARMS!$A$6:$CQ$89,43,))</f>
        <v/>
      </c>
      <c r="I40" s="365" t="str">
        <f>IF($A40="","",HLOOKUP($A40,CHARMS!$A$6:$CQ$89,49,))</f>
        <v/>
      </c>
      <c r="J40" s="365" t="str">
        <f>IF($A40="","",HLOOKUP($A40,CHARMS!$A$6:$CQ$89,50,))</f>
        <v/>
      </c>
      <c r="K40" s="365" t="str">
        <f>CONCATENATE(IF($A40="","",IF(OR(HLOOKUP($A40,CHARMS!$A$6:$CQ$89,40,)=0,ISTEXT(HLOOKUP($A40,CHARMS!$A$6:$CQ$89,45,))),"n (%): Unkown",CONCATENATE("n (%): ",HLOOKUP($A40,CHARMS!$A$6:$CQ$89,45,)," (",FIXED((HLOOKUP($A40,CHARMS!$A$6:$CQ$89,45,)/HLOOKUP($A40,CHARMS!$A$6:$CQ$89,40,))*100,1),")"))),CHAR(10),IF($A40="","",CONCATENATE("Method: ",HLOOKUP($A40,CHARMS!$A$6:$CQ$89,46,))))</f>
        <v xml:space="preserve">
</v>
      </c>
      <c r="L40" s="368" t="str">
        <f>IF($A40="","",CONCATENATE("Int: ",HLOOKUP($A40,CHARMS!$A$6:$CQ$89,75,),CHAR(10),"Ext : ",HLOOKUP($A40,CHARMS!$A$6:$CQ$89,76,)))</f>
        <v/>
      </c>
      <c r="M40" s="368" t="str">
        <f>IF($A40="","",CONCATENATE("Cal: ",HLOOKUP($A40,CHARMS!$A$6:$CQ$89,53,),CHAR(10),"Disc : ",HLOOKUP($A40,CHARMS!$A$6:$CQ$89,59,),CHAR(10),"Ov: ",HLOOKUP($A40,CHARMS!$A$6:$CQ$89,66,)))</f>
        <v/>
      </c>
      <c r="N40" s="136" t="s">
        <v>62</v>
      </c>
      <c r="O40" s="137" t="str">
        <f>_xlfn.IFNA(IF(HLOOKUP($A40,PROBAST!$A$6:$AE$77,11,)="Low RoB","+",IF(HLOOKUP($A40,PROBAST!$A$6:$AE$77,11,)="High RoB","-",IF(HLOOKUP($A40,PROBAST!$A$6:$AE$77,11,)="Unclear","?",""))),"")</f>
        <v/>
      </c>
      <c r="P40" s="137" t="str">
        <f>_xlfn.IFNA(IF(HLOOKUP($A40,PROBAST!$A$6:$AE$77,25,)="Low RoB","+",IF(HLOOKUP($A40,PROBAST!$A$6:$AE$77,25,)="High RoB","-",IF(HLOOKUP($A40,PROBAST!$A$6:$AE$77,25,)="Unclear","?",""))),"")</f>
        <v/>
      </c>
      <c r="Q40" s="137" t="str">
        <f>_xlfn.IFNA(IF(HLOOKUP($A40,PROBAST!$A$6:$AE$77,39,)="Low RoB","+",IF(HLOOKUP($A40,PROBAST!$A$6:$AE$77,39,)="High RoB","-",IF(HLOOKUP($A40,PROBAST!$A$6:$AE$77,39,)="Unclear","?",""))),"")</f>
        <v/>
      </c>
      <c r="R40" s="138" t="str">
        <f>_xlfn.IFNA(IF(HLOOKUP($A40,PROBAST!$A$6:$AE$77,58,)="Low RoB","+",IF(HLOOKUP($A40,PROBAST!$A$6:$AE$77,58,)="High RoB","-",IF(HLOOKUP($A40,PROBAST!$A$6:$AE$77,58,)="Unclear","?",""))),"")</f>
        <v/>
      </c>
      <c r="S40" s="139"/>
      <c r="T40" s="139"/>
      <c r="U40" s="139"/>
      <c r="V40" s="139"/>
      <c r="W40" s="139"/>
    </row>
    <row r="41" spans="1:23" ht="22.5" customHeight="1" thickBot="1" x14ac:dyDescent="0.3">
      <c r="A41" s="370"/>
      <c r="B41" s="377"/>
      <c r="C41" s="367"/>
      <c r="D41" s="378"/>
      <c r="E41" s="367"/>
      <c r="F41" s="367"/>
      <c r="G41" s="367"/>
      <c r="H41" s="376"/>
      <c r="I41" s="367"/>
      <c r="J41" s="367"/>
      <c r="K41" s="366"/>
      <c r="L41" s="376"/>
      <c r="M41" s="376"/>
      <c r="N41" s="141" t="s">
        <v>61</v>
      </c>
      <c r="O41" s="142" t="str">
        <f>_xlfn.IFNA(IF(HLOOKUP($A40,PROBAST!$A$6:$AE$77,12,)="Low concern","+",IF(HLOOKUP($A40,PROBAST!$A$6:$AE$77,12,)="High concern","-",IF(HLOOKUP($A40,PROBAST!$A$6:$AE$77,12,)="Unclear","?",""))),"")</f>
        <v/>
      </c>
      <c r="P41" s="142" t="str">
        <f>_xlfn.IFNA(IF(HLOOKUP($A40,PROBAST!$A$6:$AE$77,26,)="Low concern","+",IF(HLOOKUP($A40,PROBAST!$A$6:$AE$77,26,)="High concern","-",IF(HLOOKUP($A40,PROBAST!$A$6:$AE$77,26,)="Unclear","?",""))),"")</f>
        <v/>
      </c>
      <c r="Q41" s="142" t="str">
        <f>_xlfn.IFNA(IF(HLOOKUP($A40,PROBAST!$A$6:$AE$77,40,)="Low concern","+",IF(HLOOKUP($A40,PROBAST!$A$6:$AE$77,40,)="High concern","-",IF(HLOOKUP($A40,PROBAST!$A$6:$AE$77,40,)="Unclear","?",""))),"")</f>
        <v/>
      </c>
      <c r="R41" s="143"/>
    </row>
    <row r="42" spans="1:23" s="140" customFormat="1" ht="22.5" customHeight="1" x14ac:dyDescent="0.25">
      <c r="A42" s="370" t="str">
        <f>CHARMS!BH$6</f>
        <v/>
      </c>
      <c r="B42" s="372" t="str">
        <f>HLOOKUP($A42,CHARMS!$A$6:$CQ$89,1,)</f>
        <v/>
      </c>
      <c r="C42" s="365" t="str">
        <f>IF($A42="","",HLOOKUP($A42,CHARMS!$A$6:$CQ$89,48,))</f>
        <v/>
      </c>
      <c r="D42" s="374" t="str">
        <f>IF($A42="","",IF(HLOOKUP($A42,CHARMS!$A$6:$CQ$89,40,)=0,"Unkown",HLOOKUP($A42,CHARMS!$A$6:$CQ$89,40,)))</f>
        <v/>
      </c>
      <c r="E42" s="365" t="str">
        <f>IF($A42="","",IF(HLOOKUP($A42,CHARMS!$A$6:$CQ$89,40,)=0,"Unkown",CONCATENATE(HLOOKUP($A42,CHARMS!$A$6:$CQ$89,41,)," (",FIXED((HLOOKUP($A42,CHARMS!$A$6:$CQ$89,41,)/HLOOKUP($A42,CHARMS!$A$6:$CQ$89,40,))*100,1),")")))</f>
        <v/>
      </c>
      <c r="F42" s="365" t="str">
        <f>IF($A42="","",IF(HLOOKUP($A42,CHARMS!$A$6:$CQ$89,33,)=0,"Unkown",HLOOKUP($A42,CHARMS!$A$6:$CQ$89,33,)))</f>
        <v/>
      </c>
      <c r="G42" s="365" t="str">
        <f>IF($A42="","",HLOOKUP($A42,CHARMS!$A$6:$CQ$89,79,))</f>
        <v/>
      </c>
      <c r="H42" s="368" t="str">
        <f>IF($A42="","",HLOOKUP($A42,CHARMS!$A$6:$CQ$89,43,))</f>
        <v/>
      </c>
      <c r="I42" s="365" t="str">
        <f>IF($A42="","",HLOOKUP($A42,CHARMS!$A$6:$CQ$89,49,))</f>
        <v/>
      </c>
      <c r="J42" s="365" t="str">
        <f>IF($A42="","",HLOOKUP($A42,CHARMS!$A$6:$CQ$89,50,))</f>
        <v/>
      </c>
      <c r="K42" s="365" t="str">
        <f>CONCATENATE(IF($A42="","",IF(OR(HLOOKUP($A42,CHARMS!$A$6:$CQ$89,40,)=0,ISTEXT(HLOOKUP($A42,CHARMS!$A$6:$CQ$89,45,))),"n (%): Unkown",CONCATENATE("n (%): ",HLOOKUP($A42,CHARMS!$A$6:$CQ$89,45,)," (",FIXED((HLOOKUP($A42,CHARMS!$A$6:$CQ$89,45,)/HLOOKUP($A42,CHARMS!$A$6:$CQ$89,40,))*100,1),")"))),CHAR(10),IF($A42="","",CONCATENATE("Method: ",HLOOKUP($A42,CHARMS!$A$6:$CQ$89,46,))))</f>
        <v xml:space="preserve">
</v>
      </c>
      <c r="L42" s="368" t="str">
        <f>IF($A42="","",CONCATENATE("Int: ",HLOOKUP($A42,CHARMS!$A$6:$CQ$89,75,),CHAR(10),"Ext : ",HLOOKUP($A42,CHARMS!$A$6:$CQ$89,76,)))</f>
        <v/>
      </c>
      <c r="M42" s="368" t="str">
        <f>IF($A42="","",CONCATENATE("Cal: ",HLOOKUP($A42,CHARMS!$A$6:$CQ$89,53,),CHAR(10),"Disc : ",HLOOKUP($A42,CHARMS!$A$6:$CQ$89,59,),CHAR(10),"Ov: ",HLOOKUP($A42,CHARMS!$A$6:$CQ$89,66,)))</f>
        <v/>
      </c>
      <c r="N42" s="136" t="s">
        <v>62</v>
      </c>
      <c r="O42" s="137" t="str">
        <f>_xlfn.IFNA(IF(HLOOKUP($A42,PROBAST!$A$6:$AE$77,11,)="Low RoB","+",IF(HLOOKUP($A42,PROBAST!$A$6:$AE$77,11,)="High RoB","-",IF(HLOOKUP($A42,PROBAST!$A$6:$AE$77,11,)="Unclear","?",""))),"")</f>
        <v/>
      </c>
      <c r="P42" s="137" t="str">
        <f>_xlfn.IFNA(IF(HLOOKUP($A42,PROBAST!$A$6:$AE$77,25,)="Low RoB","+",IF(HLOOKUP($A42,PROBAST!$A$6:$AE$77,25,)="High RoB","-",IF(HLOOKUP($A42,PROBAST!$A$6:$AE$77,25,)="Unclear","?",""))),"")</f>
        <v/>
      </c>
      <c r="Q42" s="137" t="str">
        <f>_xlfn.IFNA(IF(HLOOKUP($A42,PROBAST!$A$6:$AE$77,39,)="Low RoB","+",IF(HLOOKUP($A42,PROBAST!$A$6:$AE$77,39,)="High RoB","-",IF(HLOOKUP($A42,PROBAST!$A$6:$AE$77,39,)="Unclear","?",""))),"")</f>
        <v/>
      </c>
      <c r="R42" s="138" t="str">
        <f>_xlfn.IFNA(IF(HLOOKUP($A42,PROBAST!$A$6:$AE$77,58,)="Low RoB","+",IF(HLOOKUP($A42,PROBAST!$A$6:$AE$77,58,)="High RoB","-",IF(HLOOKUP($A42,PROBAST!$A$6:$AE$77,58,)="Unclear","?",""))),"")</f>
        <v/>
      </c>
      <c r="S42" s="139"/>
      <c r="T42" s="139"/>
      <c r="U42" s="139"/>
      <c r="V42" s="139"/>
      <c r="W42" s="139"/>
    </row>
    <row r="43" spans="1:23" ht="22.5" customHeight="1" thickBot="1" x14ac:dyDescent="0.3">
      <c r="A43" s="370"/>
      <c r="B43" s="377"/>
      <c r="C43" s="367"/>
      <c r="D43" s="378"/>
      <c r="E43" s="367"/>
      <c r="F43" s="367"/>
      <c r="G43" s="367"/>
      <c r="H43" s="376"/>
      <c r="I43" s="367"/>
      <c r="J43" s="367"/>
      <c r="K43" s="366"/>
      <c r="L43" s="376"/>
      <c r="M43" s="376"/>
      <c r="N43" s="141" t="s">
        <v>61</v>
      </c>
      <c r="O43" s="142" t="str">
        <f>_xlfn.IFNA(IF(HLOOKUP($A42,PROBAST!$A$6:$AE$77,12,)="Low concern","+",IF(HLOOKUP($A42,PROBAST!$A$6:$AE$77,12,)="High concern","-",IF(HLOOKUP($A42,PROBAST!$A$6:$AE$77,12,)="Unclear","?",""))),"")</f>
        <v/>
      </c>
      <c r="P43" s="142" t="str">
        <f>_xlfn.IFNA(IF(HLOOKUP($A42,PROBAST!$A$6:$AE$77,26,)="Low concern","+",IF(HLOOKUP($A42,PROBAST!$A$6:$AE$77,26,)="High concern","-",IF(HLOOKUP($A42,PROBAST!$A$6:$AE$77,26,)="Unclear","?",""))),"")</f>
        <v/>
      </c>
      <c r="Q43" s="142" t="str">
        <f>_xlfn.IFNA(IF(HLOOKUP($A42,PROBAST!$A$6:$AE$77,40,)="Low concern","+",IF(HLOOKUP($A42,PROBAST!$A$6:$AE$77,40,)="High concern","-",IF(HLOOKUP($A42,PROBAST!$A$6:$AE$77,40,)="Unclear","?",""))),"")</f>
        <v/>
      </c>
      <c r="R43" s="143"/>
    </row>
    <row r="44" spans="1:23" s="140" customFormat="1" ht="22.5" customHeight="1" x14ac:dyDescent="0.25">
      <c r="A44" s="370" t="str">
        <f>CHARMS!BK$6</f>
        <v/>
      </c>
      <c r="B44" s="372" t="str">
        <f>HLOOKUP($A44,CHARMS!$A$6:$CQ$89,1,)</f>
        <v/>
      </c>
      <c r="C44" s="365" t="str">
        <f>IF($A44="","",HLOOKUP($A44,CHARMS!$A$6:$CQ$89,48,))</f>
        <v/>
      </c>
      <c r="D44" s="374" t="str">
        <f>IF($A44="","",IF(HLOOKUP($A44,CHARMS!$A$6:$CQ$89,40,)=0,"Unkown",HLOOKUP($A44,CHARMS!$A$6:$CQ$89,40,)))</f>
        <v/>
      </c>
      <c r="E44" s="365" t="str">
        <f>IF($A44="","",IF(HLOOKUP($A44,CHARMS!$A$6:$CQ$89,40,)=0,"Unkown",CONCATENATE(HLOOKUP($A44,CHARMS!$A$6:$CQ$89,41,)," (",FIXED((HLOOKUP($A44,CHARMS!$A$6:$CQ$89,41,)/HLOOKUP($A44,CHARMS!$A$6:$CQ$89,40,))*100,1),")")))</f>
        <v/>
      </c>
      <c r="F44" s="365" t="str">
        <f>IF($A44="","",IF(HLOOKUP($A44,CHARMS!$A$6:$CQ$89,33,)=0,"Unkown",HLOOKUP($A44,CHARMS!$A$6:$CQ$89,33,)))</f>
        <v/>
      </c>
      <c r="G44" s="365" t="str">
        <f>IF($A44="","",HLOOKUP($A44,CHARMS!$A$6:$CQ$89,79,))</f>
        <v/>
      </c>
      <c r="H44" s="368" t="str">
        <f>IF($A44="","",HLOOKUP($A44,CHARMS!$A$6:$CQ$89,43,))</f>
        <v/>
      </c>
      <c r="I44" s="365" t="str">
        <f>IF($A44="","",HLOOKUP($A44,CHARMS!$A$6:$CQ$89,49,))</f>
        <v/>
      </c>
      <c r="J44" s="365" t="str">
        <f>IF($A44="","",HLOOKUP($A44,CHARMS!$A$6:$CQ$89,50,))</f>
        <v/>
      </c>
      <c r="K44" s="365" t="str">
        <f>CONCATENATE(IF($A44="","",IF(OR(HLOOKUP($A44,CHARMS!$A$6:$CQ$89,40,)=0,ISTEXT(HLOOKUP($A44,CHARMS!$A$6:$CQ$89,45,))),"n (%): Unkown",CONCATENATE("n (%): ",HLOOKUP($A44,CHARMS!$A$6:$CQ$89,45,)," (",FIXED((HLOOKUP($A44,CHARMS!$A$6:$CQ$89,45,)/HLOOKUP($A44,CHARMS!$A$6:$CQ$89,40,))*100,1),")"))),CHAR(10),IF($A44="","",CONCATENATE("Method: ",HLOOKUP($A44,CHARMS!$A$6:$CQ$89,46,))))</f>
        <v xml:space="preserve">
</v>
      </c>
      <c r="L44" s="368" t="str">
        <f>IF($A44="","",CONCATENATE("Int: ",HLOOKUP($A44,CHARMS!$A$6:$CQ$89,75,),CHAR(10),"Ext : ",HLOOKUP($A44,CHARMS!$A$6:$CQ$89,76,)))</f>
        <v/>
      </c>
      <c r="M44" s="368" t="str">
        <f>IF($A44="","",CONCATENATE("Cal: ",HLOOKUP($A44,CHARMS!$A$6:$CQ$89,53,),CHAR(10),"Disc : ",HLOOKUP($A44,CHARMS!$A$6:$CQ$89,59,),CHAR(10),"Ov: ",HLOOKUP($A44,CHARMS!$A$6:$CQ$89,66,)))</f>
        <v/>
      </c>
      <c r="N44" s="136" t="s">
        <v>62</v>
      </c>
      <c r="O44" s="137" t="str">
        <f>_xlfn.IFNA(IF(HLOOKUP($A44,PROBAST!$A$6:$AE$77,11,)="Low RoB","+",IF(HLOOKUP($A44,PROBAST!$A$6:$AE$77,11,)="High RoB","-",IF(HLOOKUP($A44,PROBAST!$A$6:$AE$77,11,)="Unclear","?",""))),"")</f>
        <v/>
      </c>
      <c r="P44" s="137" t="str">
        <f>_xlfn.IFNA(IF(HLOOKUP($A44,PROBAST!$A$6:$AE$77,25,)="Low RoB","+",IF(HLOOKUP($A44,PROBAST!$A$6:$AE$77,25,)="High RoB","-",IF(HLOOKUP($A44,PROBAST!$A$6:$AE$77,25,)="Unclear","?",""))),"")</f>
        <v/>
      </c>
      <c r="Q44" s="137" t="str">
        <f>_xlfn.IFNA(IF(HLOOKUP($A44,PROBAST!$A$6:$AE$77,39,)="Low RoB","+",IF(HLOOKUP($A44,PROBAST!$A$6:$AE$77,39,)="High RoB","-",IF(HLOOKUP($A44,PROBAST!$A$6:$AE$77,39,)="Unclear","?",""))),"")</f>
        <v/>
      </c>
      <c r="R44" s="138" t="str">
        <f>_xlfn.IFNA(IF(HLOOKUP($A44,PROBAST!$A$6:$AE$77,58,)="Low RoB","+",IF(HLOOKUP($A44,PROBAST!$A$6:$AE$77,58,)="High RoB","-",IF(HLOOKUP($A44,PROBAST!$A$6:$AE$77,58,)="Unclear","?",""))),"")</f>
        <v/>
      </c>
      <c r="S44" s="139"/>
      <c r="T44" s="139"/>
      <c r="U44" s="139"/>
      <c r="V44" s="139"/>
      <c r="W44" s="139"/>
    </row>
    <row r="45" spans="1:23" ht="22.5" customHeight="1" thickBot="1" x14ac:dyDescent="0.3">
      <c r="A45" s="370"/>
      <c r="B45" s="377"/>
      <c r="C45" s="367"/>
      <c r="D45" s="378"/>
      <c r="E45" s="367"/>
      <c r="F45" s="367"/>
      <c r="G45" s="367"/>
      <c r="H45" s="376"/>
      <c r="I45" s="367"/>
      <c r="J45" s="367"/>
      <c r="K45" s="366"/>
      <c r="L45" s="376"/>
      <c r="M45" s="376"/>
      <c r="N45" s="141" t="s">
        <v>61</v>
      </c>
      <c r="O45" s="142" t="str">
        <f>_xlfn.IFNA(IF(HLOOKUP($A44,PROBAST!$A$6:$AE$77,12,)="Low concern","+",IF(HLOOKUP($A44,PROBAST!$A$6:$AE$77,12,)="High concern","-",IF(HLOOKUP($A44,PROBAST!$A$6:$AE$77,12,)="Unclear","?",""))),"")</f>
        <v/>
      </c>
      <c r="P45" s="142" t="str">
        <f>_xlfn.IFNA(IF(HLOOKUP($A44,PROBAST!$A$6:$AE$77,26,)="Low concern","+",IF(HLOOKUP($A44,PROBAST!$A$6:$AE$77,26,)="High concern","-",IF(HLOOKUP($A44,PROBAST!$A$6:$AE$77,26,)="Unclear","?",""))),"")</f>
        <v/>
      </c>
      <c r="Q45" s="142" t="str">
        <f>_xlfn.IFNA(IF(HLOOKUP($A44,PROBAST!$A$6:$AE$77,40,)="Low concern","+",IF(HLOOKUP($A44,PROBAST!$A$6:$AE$77,40,)="High concern","-",IF(HLOOKUP($A44,PROBAST!$A$6:$AE$77,40,)="Unclear","?",""))),"")</f>
        <v/>
      </c>
      <c r="R45" s="143"/>
    </row>
    <row r="46" spans="1:23" s="140" customFormat="1" ht="22.5" customHeight="1" x14ac:dyDescent="0.25">
      <c r="A46" s="370" t="str">
        <f>CHARMS!BN$6</f>
        <v/>
      </c>
      <c r="B46" s="372" t="str">
        <f>HLOOKUP($A46,CHARMS!$A$6:$CQ$89,1,)</f>
        <v/>
      </c>
      <c r="C46" s="365" t="str">
        <f>IF($A46="","",HLOOKUP($A46,CHARMS!$A$6:$CQ$89,48,))</f>
        <v/>
      </c>
      <c r="D46" s="374" t="str">
        <f>IF($A46="","",IF(HLOOKUP($A46,CHARMS!$A$6:$CQ$89,40,)=0,"Unkown",HLOOKUP($A46,CHARMS!$A$6:$CQ$89,40,)))</f>
        <v/>
      </c>
      <c r="E46" s="365" t="str">
        <f>IF($A46="","",IF(HLOOKUP($A46,CHARMS!$A$6:$CQ$89,40,)=0,"Unkown",CONCATENATE(HLOOKUP($A46,CHARMS!$A$6:$CQ$89,41,)," (",FIXED((HLOOKUP($A46,CHARMS!$A$6:$CQ$89,41,)/HLOOKUP($A46,CHARMS!$A$6:$CQ$89,40,))*100,1),")")))</f>
        <v/>
      </c>
      <c r="F46" s="365" t="str">
        <f>IF($A46="","",IF(HLOOKUP($A46,CHARMS!$A$6:$CQ$89,33,)=0,"Unkown",HLOOKUP($A46,CHARMS!$A$6:$CQ$89,33,)))</f>
        <v/>
      </c>
      <c r="G46" s="365" t="str">
        <f>IF($A46="","",HLOOKUP($A46,CHARMS!$A$6:$CQ$89,79,))</f>
        <v/>
      </c>
      <c r="H46" s="368" t="str">
        <f>IF($A46="","",HLOOKUP($A46,CHARMS!$A$6:$CQ$89,43,))</f>
        <v/>
      </c>
      <c r="I46" s="365" t="str">
        <f>IF($A46="","",HLOOKUP($A46,CHARMS!$A$6:$CQ$89,49,))</f>
        <v/>
      </c>
      <c r="J46" s="365" t="str">
        <f>IF($A46="","",HLOOKUP($A46,CHARMS!$A$6:$CQ$89,50,))</f>
        <v/>
      </c>
      <c r="K46" s="365" t="str">
        <f>CONCATENATE(IF($A46="","",IF(OR(HLOOKUP($A46,CHARMS!$A$6:$CQ$89,40,)=0,ISTEXT(HLOOKUP($A46,CHARMS!$A$6:$CQ$89,45,))),"n (%): Unkown",CONCATENATE("n (%): ",HLOOKUP($A46,CHARMS!$A$6:$CQ$89,45,)," (",FIXED((HLOOKUP($A46,CHARMS!$A$6:$CQ$89,45,)/HLOOKUP($A46,CHARMS!$A$6:$CQ$89,40,))*100,1),")"))),CHAR(10),IF($A46="","",CONCATENATE("Method: ",HLOOKUP($A46,CHARMS!$A$6:$CQ$89,46,))))</f>
        <v xml:space="preserve">
</v>
      </c>
      <c r="L46" s="368" t="str">
        <f>IF($A46="","",CONCATENATE("Int: ",HLOOKUP($A46,CHARMS!$A$6:$CQ$89,75,),CHAR(10),"Ext : ",HLOOKUP($A46,CHARMS!$A$6:$CQ$89,76,)))</f>
        <v/>
      </c>
      <c r="M46" s="368" t="str">
        <f>IF($A46="","",CONCATENATE("Cal: ",HLOOKUP($A46,CHARMS!$A$6:$CQ$89,53,),CHAR(10),"Disc : ",HLOOKUP($A46,CHARMS!$A$6:$CQ$89,59,),CHAR(10),"Ov: ",HLOOKUP($A46,CHARMS!$A$6:$CQ$89,66,)))</f>
        <v/>
      </c>
      <c r="N46" s="136" t="s">
        <v>62</v>
      </c>
      <c r="O46" s="137" t="str">
        <f>_xlfn.IFNA(IF(HLOOKUP($A46,PROBAST!$A$6:$AE$77,11,)="Low RoB","+",IF(HLOOKUP($A46,PROBAST!$A$6:$AE$77,11,)="High RoB","-",IF(HLOOKUP($A46,PROBAST!$A$6:$AE$77,11,)="Unclear","?",""))),"")</f>
        <v/>
      </c>
      <c r="P46" s="137" t="str">
        <f>_xlfn.IFNA(IF(HLOOKUP($A46,PROBAST!$A$6:$AE$77,25,)="Low RoB","+",IF(HLOOKUP($A46,PROBAST!$A$6:$AE$77,25,)="High RoB","-",IF(HLOOKUP($A46,PROBAST!$A$6:$AE$77,25,)="Unclear","?",""))),"")</f>
        <v/>
      </c>
      <c r="Q46" s="137" t="str">
        <f>_xlfn.IFNA(IF(HLOOKUP($A46,PROBAST!$A$6:$AE$77,39,)="Low RoB","+",IF(HLOOKUP($A46,PROBAST!$A$6:$AE$77,39,)="High RoB","-",IF(HLOOKUP($A46,PROBAST!$A$6:$AE$77,39,)="Unclear","?",""))),"")</f>
        <v/>
      </c>
      <c r="R46" s="138" t="str">
        <f>_xlfn.IFNA(IF(HLOOKUP($A46,PROBAST!$A$6:$AE$77,58,)="Low RoB","+",IF(HLOOKUP($A46,PROBAST!$A$6:$AE$77,58,)="High RoB","-",IF(HLOOKUP($A46,PROBAST!$A$6:$AE$77,58,)="Unclear","?",""))),"")</f>
        <v/>
      </c>
      <c r="S46" s="139"/>
      <c r="T46" s="139"/>
      <c r="U46" s="139"/>
      <c r="V46" s="139"/>
      <c r="W46" s="139"/>
    </row>
    <row r="47" spans="1:23" ht="22.5" customHeight="1" thickBot="1" x14ac:dyDescent="0.3">
      <c r="A47" s="370"/>
      <c r="B47" s="377"/>
      <c r="C47" s="367"/>
      <c r="D47" s="378"/>
      <c r="E47" s="367"/>
      <c r="F47" s="367"/>
      <c r="G47" s="367"/>
      <c r="H47" s="376"/>
      <c r="I47" s="367"/>
      <c r="J47" s="367"/>
      <c r="K47" s="366"/>
      <c r="L47" s="376"/>
      <c r="M47" s="376"/>
      <c r="N47" s="141" t="s">
        <v>61</v>
      </c>
      <c r="O47" s="142" t="str">
        <f>_xlfn.IFNA(IF(HLOOKUP($A46,PROBAST!$A$6:$AE$77,12,)="Low concern","+",IF(HLOOKUP($A46,PROBAST!$A$6:$AE$77,12,)="High concern","-",IF(HLOOKUP($A46,PROBAST!$A$6:$AE$77,12,)="Unclear","?",""))),"")</f>
        <v/>
      </c>
      <c r="P47" s="142" t="str">
        <f>_xlfn.IFNA(IF(HLOOKUP($A46,PROBAST!$A$6:$AE$77,26,)="Low concern","+",IF(HLOOKUP($A46,PROBAST!$A$6:$AE$77,26,)="High concern","-",IF(HLOOKUP($A46,PROBAST!$A$6:$AE$77,26,)="Unclear","?",""))),"")</f>
        <v/>
      </c>
      <c r="Q47" s="142" t="str">
        <f>_xlfn.IFNA(IF(HLOOKUP($A46,PROBAST!$A$6:$AE$77,40,)="Low concern","+",IF(HLOOKUP($A46,PROBAST!$A$6:$AE$77,40,)="High concern","-",IF(HLOOKUP($A46,PROBAST!$A$6:$AE$77,40,)="Unclear","?",""))),"")</f>
        <v/>
      </c>
      <c r="R47" s="143"/>
    </row>
    <row r="48" spans="1:23" s="140" customFormat="1" ht="22.5" customHeight="1" x14ac:dyDescent="0.25">
      <c r="A48" s="370" t="str">
        <f>CHARMS!BQ$6</f>
        <v/>
      </c>
      <c r="B48" s="372" t="str">
        <f>HLOOKUP($A48,CHARMS!$A$6:$CQ$89,1,)</f>
        <v/>
      </c>
      <c r="C48" s="365" t="str">
        <f>IF($A48="","",HLOOKUP($A48,CHARMS!$A$6:$CQ$89,48,))</f>
        <v/>
      </c>
      <c r="D48" s="374" t="str">
        <f>IF($A48="","",IF(HLOOKUP($A48,CHARMS!$A$6:$CQ$89,40,)=0,"Unkown",HLOOKUP($A48,CHARMS!$A$6:$CQ$89,40,)))</f>
        <v/>
      </c>
      <c r="E48" s="365" t="str">
        <f>IF($A48="","",IF(HLOOKUP($A48,CHARMS!$A$6:$CQ$89,40,)=0,"Unkown",CONCATENATE(HLOOKUP($A48,CHARMS!$A$6:$CQ$89,41,)," (",FIXED((HLOOKUP($A48,CHARMS!$A$6:$CQ$89,41,)/HLOOKUP($A48,CHARMS!$A$6:$CQ$89,40,))*100,1),")")))</f>
        <v/>
      </c>
      <c r="F48" s="365" t="str">
        <f>IF($A48="","",IF(HLOOKUP($A48,CHARMS!$A$6:$CQ$89,33,)=0,"Unkown",HLOOKUP($A48,CHARMS!$A$6:$CQ$89,33,)))</f>
        <v/>
      </c>
      <c r="G48" s="365" t="str">
        <f>IF($A48="","",HLOOKUP($A48,CHARMS!$A$6:$CQ$89,79,))</f>
        <v/>
      </c>
      <c r="H48" s="368" t="str">
        <f>IF($A48="","",HLOOKUP($A48,CHARMS!$A$6:$CQ$89,43,))</f>
        <v/>
      </c>
      <c r="I48" s="365" t="str">
        <f>IF($A48="","",HLOOKUP($A48,CHARMS!$A$6:$CQ$89,49,))</f>
        <v/>
      </c>
      <c r="J48" s="365" t="str">
        <f>IF($A48="","",HLOOKUP($A48,CHARMS!$A$6:$CQ$89,50,))</f>
        <v/>
      </c>
      <c r="K48" s="365" t="str">
        <f>CONCATENATE(IF($A48="","",IF(OR(HLOOKUP($A48,CHARMS!$A$6:$CQ$89,40,)=0,ISTEXT(HLOOKUP($A48,CHARMS!$A$6:$CQ$89,45,))),"n (%): Unkown",CONCATENATE("n (%): ",HLOOKUP($A48,CHARMS!$A$6:$CQ$89,45,)," (",FIXED((HLOOKUP($A48,CHARMS!$A$6:$CQ$89,45,)/HLOOKUP($A48,CHARMS!$A$6:$CQ$89,40,))*100,1),")"))),CHAR(10),IF($A48="","",CONCATENATE("Method: ",HLOOKUP($A48,CHARMS!$A$6:$CQ$89,46,))))</f>
        <v xml:space="preserve">
</v>
      </c>
      <c r="L48" s="368" t="str">
        <f>IF($A48="","",CONCATENATE("Int: ",HLOOKUP($A48,CHARMS!$A$6:$CQ$89,75,),CHAR(10),"Ext : ",HLOOKUP($A48,CHARMS!$A$6:$CQ$89,76,)))</f>
        <v/>
      </c>
      <c r="M48" s="368" t="str">
        <f>IF($A48="","",CONCATENATE("Cal: ",HLOOKUP($A48,CHARMS!$A$6:$CQ$89,53,),CHAR(10),"Disc : ",HLOOKUP($A48,CHARMS!$A$6:$CQ$89,59,),CHAR(10),"Ov: ",HLOOKUP($A48,CHARMS!$A$6:$CQ$89,66,)))</f>
        <v/>
      </c>
      <c r="N48" s="136" t="s">
        <v>62</v>
      </c>
      <c r="O48" s="137" t="str">
        <f>_xlfn.IFNA(IF(HLOOKUP($A48,PROBAST!$A$6:$AE$77,11,)="Low RoB","+",IF(HLOOKUP($A48,PROBAST!$A$6:$AE$77,11,)="High RoB","-",IF(HLOOKUP($A48,PROBAST!$A$6:$AE$77,11,)="Unclear","?",""))),"")</f>
        <v/>
      </c>
      <c r="P48" s="137" t="str">
        <f>_xlfn.IFNA(IF(HLOOKUP($A48,PROBAST!$A$6:$AE$77,25,)="Low RoB","+",IF(HLOOKUP($A48,PROBAST!$A$6:$AE$77,25,)="High RoB","-",IF(HLOOKUP($A48,PROBAST!$A$6:$AE$77,25,)="Unclear","?",""))),"")</f>
        <v/>
      </c>
      <c r="Q48" s="137" t="str">
        <f>_xlfn.IFNA(IF(HLOOKUP($A48,PROBAST!$A$6:$AE$77,39,)="Low RoB","+",IF(HLOOKUP($A48,PROBAST!$A$6:$AE$77,39,)="High RoB","-",IF(HLOOKUP($A48,PROBAST!$A$6:$AE$77,39,)="Unclear","?",""))),"")</f>
        <v/>
      </c>
      <c r="R48" s="138" t="str">
        <f>_xlfn.IFNA(IF(HLOOKUP($A48,PROBAST!$A$6:$AE$77,58,)="Low RoB","+",IF(HLOOKUP($A48,PROBAST!$A$6:$AE$77,58,)="High RoB","-",IF(HLOOKUP($A48,PROBAST!$A$6:$AE$77,58,)="Unclear","?",""))),"")</f>
        <v/>
      </c>
      <c r="S48" s="139"/>
      <c r="T48" s="139"/>
      <c r="U48" s="139"/>
      <c r="V48" s="139"/>
      <c r="W48" s="139"/>
    </row>
    <row r="49" spans="1:23" ht="22.5" customHeight="1" thickBot="1" x14ac:dyDescent="0.3">
      <c r="A49" s="370"/>
      <c r="B49" s="377"/>
      <c r="C49" s="367"/>
      <c r="D49" s="378"/>
      <c r="E49" s="367"/>
      <c r="F49" s="367"/>
      <c r="G49" s="367"/>
      <c r="H49" s="376"/>
      <c r="I49" s="367"/>
      <c r="J49" s="367"/>
      <c r="K49" s="366"/>
      <c r="L49" s="376"/>
      <c r="M49" s="376"/>
      <c r="N49" s="141" t="s">
        <v>61</v>
      </c>
      <c r="O49" s="142" t="str">
        <f>_xlfn.IFNA(IF(HLOOKUP($A48,PROBAST!$A$6:$AE$77,12,)="Low concern","+",IF(HLOOKUP($A48,PROBAST!$A$6:$AE$77,12,)="High concern","-",IF(HLOOKUP($A48,PROBAST!$A$6:$AE$77,12,)="Unclear","?",""))),"")</f>
        <v/>
      </c>
      <c r="P49" s="142" t="str">
        <f>_xlfn.IFNA(IF(HLOOKUP($A48,PROBAST!$A$6:$AE$77,26,)="Low concern","+",IF(HLOOKUP($A48,PROBAST!$A$6:$AE$77,26,)="High concern","-",IF(HLOOKUP($A48,PROBAST!$A$6:$AE$77,26,)="Unclear","?",""))),"")</f>
        <v/>
      </c>
      <c r="Q49" s="142" t="str">
        <f>_xlfn.IFNA(IF(HLOOKUP($A48,PROBAST!$A$6:$AE$77,40,)="Low concern","+",IF(HLOOKUP($A48,PROBAST!$A$6:$AE$77,40,)="High concern","-",IF(HLOOKUP($A48,PROBAST!$A$6:$AE$77,40,)="Unclear","?",""))),"")</f>
        <v/>
      </c>
      <c r="R49" s="143"/>
    </row>
    <row r="50" spans="1:23" s="140" customFormat="1" ht="22.5" customHeight="1" x14ac:dyDescent="0.25">
      <c r="A50" s="370" t="str">
        <f>CHARMS!BT$6</f>
        <v/>
      </c>
      <c r="B50" s="372" t="str">
        <f>HLOOKUP($A50,CHARMS!$A$6:$CQ$89,1,)</f>
        <v/>
      </c>
      <c r="C50" s="365" t="str">
        <f>IF($A50="","",HLOOKUP($A50,CHARMS!$A$6:$CQ$89,48,))</f>
        <v/>
      </c>
      <c r="D50" s="374" t="str">
        <f>IF($A50="","",IF(HLOOKUP($A50,CHARMS!$A$6:$CQ$89,40,)=0,"Unkown",HLOOKUP($A50,CHARMS!$A$6:$CQ$89,40,)))</f>
        <v/>
      </c>
      <c r="E50" s="365" t="str">
        <f>IF($A50="","",IF(HLOOKUP($A50,CHARMS!$A$6:$CQ$89,40,)=0,"Unkown",CONCATENATE(HLOOKUP($A50,CHARMS!$A$6:$CQ$89,41,)," (",FIXED((HLOOKUP($A50,CHARMS!$A$6:$CQ$89,41,)/HLOOKUP($A50,CHARMS!$A$6:$CQ$89,40,))*100,1),")")))</f>
        <v/>
      </c>
      <c r="F50" s="365" t="str">
        <f>IF($A50="","",IF(HLOOKUP($A50,CHARMS!$A$6:$CQ$89,33,)=0,"Unkown",HLOOKUP($A50,CHARMS!$A$6:$CQ$89,33,)))</f>
        <v/>
      </c>
      <c r="G50" s="365" t="str">
        <f>IF($A50="","",HLOOKUP($A50,CHARMS!$A$6:$CQ$89,79,))</f>
        <v/>
      </c>
      <c r="H50" s="368" t="str">
        <f>IF($A50="","",HLOOKUP($A50,CHARMS!$A$6:$CQ$89,43,))</f>
        <v/>
      </c>
      <c r="I50" s="365" t="str">
        <f>IF($A50="","",HLOOKUP($A50,CHARMS!$A$6:$CQ$89,49,))</f>
        <v/>
      </c>
      <c r="J50" s="365" t="str">
        <f>IF($A50="","",HLOOKUP($A50,CHARMS!$A$6:$CQ$89,50,))</f>
        <v/>
      </c>
      <c r="K50" s="365" t="str">
        <f>CONCATENATE(IF($A50="","",IF(OR(HLOOKUP($A50,CHARMS!$A$6:$CQ$89,40,)=0,ISTEXT(HLOOKUP($A50,CHARMS!$A$6:$CQ$89,45,))),"n (%): Unkown",CONCATENATE("n (%): ",HLOOKUP($A50,CHARMS!$A$6:$CQ$89,45,)," (",FIXED((HLOOKUP($A50,CHARMS!$A$6:$CQ$89,45,)/HLOOKUP($A50,CHARMS!$A$6:$CQ$89,40,))*100,1),")"))),CHAR(10),IF($A50="","",CONCATENATE("Method: ",HLOOKUP($A50,CHARMS!$A$6:$CQ$89,46,))))</f>
        <v xml:space="preserve">
</v>
      </c>
      <c r="L50" s="368" t="str">
        <f>IF($A50="","",CONCATENATE("Int: ",HLOOKUP($A50,CHARMS!$A$6:$CQ$89,75,),CHAR(10),"Ext : ",HLOOKUP($A50,CHARMS!$A$6:$CQ$89,76,)))</f>
        <v/>
      </c>
      <c r="M50" s="368" t="str">
        <f>IF($A50="","",CONCATENATE("Cal: ",HLOOKUP($A50,CHARMS!$A$6:$CQ$89,53,),CHAR(10),"Disc : ",HLOOKUP($A50,CHARMS!$A$6:$CQ$89,59,),CHAR(10),"Ov: ",HLOOKUP($A50,CHARMS!$A$6:$CQ$89,66,)))</f>
        <v/>
      </c>
      <c r="N50" s="136" t="s">
        <v>62</v>
      </c>
      <c r="O50" s="137" t="str">
        <f>_xlfn.IFNA(IF(HLOOKUP($A50,PROBAST!$A$6:$AE$77,11,)="Low RoB","+",IF(HLOOKUP($A50,PROBAST!$A$6:$AE$77,11,)="High RoB","-",IF(HLOOKUP($A50,PROBAST!$A$6:$AE$77,11,)="Unclear","?",""))),"")</f>
        <v/>
      </c>
      <c r="P50" s="137" t="str">
        <f>_xlfn.IFNA(IF(HLOOKUP($A50,PROBAST!$A$6:$AE$77,25,)="Low RoB","+",IF(HLOOKUP($A50,PROBAST!$A$6:$AE$77,25,)="High RoB","-",IF(HLOOKUP($A50,PROBAST!$A$6:$AE$77,25,)="Unclear","?",""))),"")</f>
        <v/>
      </c>
      <c r="Q50" s="137" t="str">
        <f>_xlfn.IFNA(IF(HLOOKUP($A50,PROBAST!$A$6:$AE$77,39,)="Low RoB","+",IF(HLOOKUP($A50,PROBAST!$A$6:$AE$77,39,)="High RoB","-",IF(HLOOKUP($A50,PROBAST!$A$6:$AE$77,39,)="Unclear","?",""))),"")</f>
        <v/>
      </c>
      <c r="R50" s="138" t="str">
        <f>_xlfn.IFNA(IF(HLOOKUP($A50,PROBAST!$A$6:$AE$77,58,)="Low RoB","+",IF(HLOOKUP($A50,PROBAST!$A$6:$AE$77,58,)="High RoB","-",IF(HLOOKUP($A50,PROBAST!$A$6:$AE$77,58,)="Unclear","?",""))),"")</f>
        <v/>
      </c>
      <c r="S50" s="139"/>
      <c r="T50" s="139"/>
      <c r="U50" s="139"/>
      <c r="V50" s="139"/>
      <c r="W50" s="139"/>
    </row>
    <row r="51" spans="1:23" ht="22.5" customHeight="1" thickBot="1" x14ac:dyDescent="0.3">
      <c r="A51" s="370"/>
      <c r="B51" s="377"/>
      <c r="C51" s="367"/>
      <c r="D51" s="378"/>
      <c r="E51" s="367"/>
      <c r="F51" s="367"/>
      <c r="G51" s="367"/>
      <c r="H51" s="376"/>
      <c r="I51" s="367"/>
      <c r="J51" s="367"/>
      <c r="K51" s="366"/>
      <c r="L51" s="376"/>
      <c r="M51" s="376"/>
      <c r="N51" s="141" t="s">
        <v>61</v>
      </c>
      <c r="O51" s="142" t="str">
        <f>_xlfn.IFNA(IF(HLOOKUP($A50,PROBAST!$A$6:$AE$77,12,)="Low concern","+",IF(HLOOKUP($A50,PROBAST!$A$6:$AE$77,12,)="High concern","-",IF(HLOOKUP($A50,PROBAST!$A$6:$AE$77,12,)="Unclear","?",""))),"")</f>
        <v/>
      </c>
      <c r="P51" s="142" t="str">
        <f>_xlfn.IFNA(IF(HLOOKUP($A50,PROBAST!$A$6:$AE$77,26,)="Low concern","+",IF(HLOOKUP($A50,PROBAST!$A$6:$AE$77,26,)="High concern","-",IF(HLOOKUP($A50,PROBAST!$A$6:$AE$77,26,)="Unclear","?",""))),"")</f>
        <v/>
      </c>
      <c r="Q51" s="142" t="str">
        <f>_xlfn.IFNA(IF(HLOOKUP($A50,PROBAST!$A$6:$AE$77,40,)="Low concern","+",IF(HLOOKUP($A50,PROBAST!$A$6:$AE$77,40,)="High concern","-",IF(HLOOKUP($A50,PROBAST!$A$6:$AE$77,40,)="Unclear","?",""))),"")</f>
        <v/>
      </c>
      <c r="R51" s="143"/>
    </row>
    <row r="52" spans="1:23" s="140" customFormat="1" ht="22.5" customHeight="1" x14ac:dyDescent="0.25">
      <c r="A52" s="370" t="str">
        <f>CHARMS!BW$6</f>
        <v/>
      </c>
      <c r="B52" s="372" t="str">
        <f>HLOOKUP($A52,CHARMS!$A$6:$CQ$89,1,)</f>
        <v/>
      </c>
      <c r="C52" s="365" t="str">
        <f>IF($A52="","",HLOOKUP($A52,CHARMS!$A$6:$CQ$89,48,))</f>
        <v/>
      </c>
      <c r="D52" s="374" t="str">
        <f>IF($A52="","",IF(HLOOKUP($A52,CHARMS!$A$6:$CQ$89,40,)=0,"Unkown",HLOOKUP($A52,CHARMS!$A$6:$CQ$89,40,)))</f>
        <v/>
      </c>
      <c r="E52" s="365" t="str">
        <f>IF($A52="","",IF(HLOOKUP($A52,CHARMS!$A$6:$CQ$89,40,)=0,"Unkown",CONCATENATE(HLOOKUP($A52,CHARMS!$A$6:$CQ$89,41,)," (",FIXED((HLOOKUP($A52,CHARMS!$A$6:$CQ$89,41,)/HLOOKUP($A52,CHARMS!$A$6:$CQ$89,40,))*100,1),")")))</f>
        <v/>
      </c>
      <c r="F52" s="365" t="str">
        <f>IF($A52="","",IF(HLOOKUP($A52,CHARMS!$A$6:$CQ$89,33,)=0,"Unkown",HLOOKUP($A52,CHARMS!$A$6:$CQ$89,33,)))</f>
        <v/>
      </c>
      <c r="G52" s="365" t="str">
        <f>IF($A52="","",HLOOKUP($A52,CHARMS!$A$6:$CQ$89,79,))</f>
        <v/>
      </c>
      <c r="H52" s="368" t="str">
        <f>IF($A52="","",HLOOKUP($A52,CHARMS!$A$6:$CQ$89,43,))</f>
        <v/>
      </c>
      <c r="I52" s="365" t="str">
        <f>IF($A52="","",HLOOKUP($A52,CHARMS!$A$6:$CQ$89,49,))</f>
        <v/>
      </c>
      <c r="J52" s="365" t="str">
        <f>IF($A52="","",HLOOKUP($A52,CHARMS!$A$6:$CQ$89,50,))</f>
        <v/>
      </c>
      <c r="K52" s="365" t="str">
        <f>CONCATENATE(IF($A52="","",IF(OR(HLOOKUP($A52,CHARMS!$A$6:$CQ$89,40,)=0,ISTEXT(HLOOKUP($A52,CHARMS!$A$6:$CQ$89,45,))),"n (%): Unkown",CONCATENATE("n (%): ",HLOOKUP($A52,CHARMS!$A$6:$CQ$89,45,)," (",FIXED((HLOOKUP($A52,CHARMS!$A$6:$CQ$89,45,)/HLOOKUP($A52,CHARMS!$A$6:$CQ$89,40,))*100,1),")"))),CHAR(10),IF($A52="","",CONCATENATE("Method: ",HLOOKUP($A52,CHARMS!$A$6:$CQ$89,46,))))</f>
        <v xml:space="preserve">
</v>
      </c>
      <c r="L52" s="368" t="str">
        <f>IF($A52="","",CONCATENATE("Int: ",HLOOKUP($A52,CHARMS!$A$6:$CQ$89,75,),CHAR(10),"Ext : ",HLOOKUP($A52,CHARMS!$A$6:$CQ$89,76,)))</f>
        <v/>
      </c>
      <c r="M52" s="368" t="str">
        <f>IF($A52="","",CONCATENATE("Cal: ",HLOOKUP($A52,CHARMS!$A$6:$CQ$89,53,),CHAR(10),"Disc : ",HLOOKUP($A52,CHARMS!$A$6:$CQ$89,59,),CHAR(10),"Ov: ",HLOOKUP($A52,CHARMS!$A$6:$CQ$89,66,)))</f>
        <v/>
      </c>
      <c r="N52" s="136" t="s">
        <v>62</v>
      </c>
      <c r="O52" s="137" t="str">
        <f>_xlfn.IFNA(IF(HLOOKUP($A52,PROBAST!$A$6:$AE$77,11,)="Low RoB","+",IF(HLOOKUP($A52,PROBAST!$A$6:$AE$77,11,)="High RoB","-",IF(HLOOKUP($A52,PROBAST!$A$6:$AE$77,11,)="Unclear","?",""))),"")</f>
        <v/>
      </c>
      <c r="P52" s="137" t="str">
        <f>_xlfn.IFNA(IF(HLOOKUP($A52,PROBAST!$A$6:$AE$77,25,)="Low RoB","+",IF(HLOOKUP($A52,PROBAST!$A$6:$AE$77,25,)="High RoB","-",IF(HLOOKUP($A52,PROBAST!$A$6:$AE$77,25,)="Unclear","?",""))),"")</f>
        <v/>
      </c>
      <c r="Q52" s="137" t="str">
        <f>_xlfn.IFNA(IF(HLOOKUP($A52,PROBAST!$A$6:$AE$77,39,)="Low RoB","+",IF(HLOOKUP($A52,PROBAST!$A$6:$AE$77,39,)="High RoB","-",IF(HLOOKUP($A52,PROBAST!$A$6:$AE$77,39,)="Unclear","?",""))),"")</f>
        <v/>
      </c>
      <c r="R52" s="138" t="str">
        <f>_xlfn.IFNA(IF(HLOOKUP($A52,PROBAST!$A$6:$AE$77,58,)="Low RoB","+",IF(HLOOKUP($A52,PROBAST!$A$6:$AE$77,58,)="High RoB","-",IF(HLOOKUP($A52,PROBAST!$A$6:$AE$77,58,)="Unclear","?",""))),"")</f>
        <v/>
      </c>
      <c r="S52" s="139"/>
      <c r="T52" s="139"/>
      <c r="U52" s="139"/>
      <c r="V52" s="139"/>
      <c r="W52" s="139"/>
    </row>
    <row r="53" spans="1:23" ht="22.5" customHeight="1" thickBot="1" x14ac:dyDescent="0.3">
      <c r="A53" s="370"/>
      <c r="B53" s="377"/>
      <c r="C53" s="367"/>
      <c r="D53" s="378"/>
      <c r="E53" s="367"/>
      <c r="F53" s="367"/>
      <c r="G53" s="367"/>
      <c r="H53" s="376"/>
      <c r="I53" s="367"/>
      <c r="J53" s="367"/>
      <c r="K53" s="366"/>
      <c r="L53" s="376"/>
      <c r="M53" s="376"/>
      <c r="N53" s="141" t="s">
        <v>61</v>
      </c>
      <c r="O53" s="142" t="str">
        <f>_xlfn.IFNA(IF(HLOOKUP($A52,PROBAST!$A$6:$AE$77,12,)="Low concern","+",IF(HLOOKUP($A52,PROBAST!$A$6:$AE$77,12,)="High concern","-",IF(HLOOKUP($A52,PROBAST!$A$6:$AE$77,12,)="Unclear","?",""))),"")</f>
        <v/>
      </c>
      <c r="P53" s="142" t="str">
        <f>_xlfn.IFNA(IF(HLOOKUP($A52,PROBAST!$A$6:$AE$77,26,)="Low concern","+",IF(HLOOKUP($A52,PROBAST!$A$6:$AE$77,26,)="High concern","-",IF(HLOOKUP($A52,PROBAST!$A$6:$AE$77,26,)="Unclear","?",""))),"")</f>
        <v/>
      </c>
      <c r="Q53" s="142" t="str">
        <f>_xlfn.IFNA(IF(HLOOKUP($A52,PROBAST!$A$6:$AE$77,40,)="Low concern","+",IF(HLOOKUP($A52,PROBAST!$A$6:$AE$77,40,)="High concern","-",IF(HLOOKUP($A52,PROBAST!$A$6:$AE$77,40,)="Unclear","?",""))),"")</f>
        <v/>
      </c>
      <c r="R53" s="143"/>
    </row>
    <row r="54" spans="1:23" s="140" customFormat="1" ht="22.5" customHeight="1" x14ac:dyDescent="0.25">
      <c r="A54" s="370" t="str">
        <f>CHARMS!BZ$6</f>
        <v/>
      </c>
      <c r="B54" s="372" t="str">
        <f>HLOOKUP($A54,CHARMS!$A$6:$CQ$89,1,)</f>
        <v/>
      </c>
      <c r="C54" s="365" t="str">
        <f>IF($A54="","",HLOOKUP($A54,CHARMS!$A$6:$CQ$89,48,))</f>
        <v/>
      </c>
      <c r="D54" s="374" t="str">
        <f>IF($A54="","",IF(HLOOKUP($A54,CHARMS!$A$6:$CQ$89,40,)=0,"Unkown",HLOOKUP($A54,CHARMS!$A$6:$CQ$89,40,)))</f>
        <v/>
      </c>
      <c r="E54" s="365" t="str">
        <f>IF($A54="","",IF(HLOOKUP($A54,CHARMS!$A$6:$CQ$89,40,)=0,"Unkown",CONCATENATE(HLOOKUP($A54,CHARMS!$A$6:$CQ$89,41,)," (",FIXED((HLOOKUP($A54,CHARMS!$A$6:$CQ$89,41,)/HLOOKUP($A54,CHARMS!$A$6:$CQ$89,40,))*100,1),")")))</f>
        <v/>
      </c>
      <c r="F54" s="365" t="str">
        <f>IF($A54="","",IF(HLOOKUP($A54,CHARMS!$A$6:$CQ$89,33,)=0,"Unkown",HLOOKUP($A54,CHARMS!$A$6:$CQ$89,33,)))</f>
        <v/>
      </c>
      <c r="G54" s="365" t="str">
        <f>IF($A54="","",HLOOKUP($A54,CHARMS!$A$6:$CQ$89,79,))</f>
        <v/>
      </c>
      <c r="H54" s="368" t="str">
        <f>IF($A54="","",HLOOKUP($A54,CHARMS!$A$6:$CQ$89,43,))</f>
        <v/>
      </c>
      <c r="I54" s="365" t="str">
        <f>IF($A54="","",HLOOKUP($A54,CHARMS!$A$6:$CQ$89,49,))</f>
        <v/>
      </c>
      <c r="J54" s="365" t="str">
        <f>IF($A54="","",HLOOKUP($A54,CHARMS!$A$6:$CQ$89,50,))</f>
        <v/>
      </c>
      <c r="K54" s="365" t="str">
        <f>CONCATENATE(IF($A54="","",IF(OR(HLOOKUP($A54,CHARMS!$A$6:$CQ$89,40,)=0,ISTEXT(HLOOKUP($A54,CHARMS!$A$6:$CQ$89,45,))),"n (%): Unkown",CONCATENATE("n (%): ",HLOOKUP($A54,CHARMS!$A$6:$CQ$89,45,)," (",FIXED((HLOOKUP($A54,CHARMS!$A$6:$CQ$89,45,)/HLOOKUP($A54,CHARMS!$A$6:$CQ$89,40,))*100,1),")"))),CHAR(10),IF($A54="","",CONCATENATE("Method: ",HLOOKUP($A54,CHARMS!$A$6:$CQ$89,46,))))</f>
        <v xml:space="preserve">
</v>
      </c>
      <c r="L54" s="368" t="str">
        <f>IF($A54="","",CONCATENATE("Int: ",HLOOKUP($A54,CHARMS!$A$6:$CQ$89,75,),CHAR(10),"Ext : ",HLOOKUP($A54,CHARMS!$A$6:$CQ$89,76,)))</f>
        <v/>
      </c>
      <c r="M54" s="368" t="str">
        <f>IF($A54="","",CONCATENATE("Cal: ",HLOOKUP($A54,CHARMS!$A$6:$CQ$89,53,),CHAR(10),"Disc : ",HLOOKUP($A54,CHARMS!$A$6:$CQ$89,59,),CHAR(10),"Ov: ",HLOOKUP($A54,CHARMS!$A$6:$CQ$89,66,)))</f>
        <v/>
      </c>
      <c r="N54" s="136" t="s">
        <v>62</v>
      </c>
      <c r="O54" s="137" t="str">
        <f>_xlfn.IFNA(IF(HLOOKUP($A54,PROBAST!$A$6:$AE$77,11,)="Low RoB","+",IF(HLOOKUP($A54,PROBAST!$A$6:$AE$77,11,)="High RoB","-",IF(HLOOKUP($A54,PROBAST!$A$6:$AE$77,11,)="Unclear","?",""))),"")</f>
        <v/>
      </c>
      <c r="P54" s="137" t="str">
        <f>_xlfn.IFNA(IF(HLOOKUP($A54,PROBAST!$A$6:$AE$77,25,)="Low RoB","+",IF(HLOOKUP($A54,PROBAST!$A$6:$AE$77,25,)="High RoB","-",IF(HLOOKUP($A54,PROBAST!$A$6:$AE$77,25,)="Unclear","?",""))),"")</f>
        <v/>
      </c>
      <c r="Q54" s="137" t="str">
        <f>_xlfn.IFNA(IF(HLOOKUP($A54,PROBAST!$A$6:$AE$77,39,)="Low RoB","+",IF(HLOOKUP($A54,PROBAST!$A$6:$AE$77,39,)="High RoB","-",IF(HLOOKUP($A54,PROBAST!$A$6:$AE$77,39,)="Unclear","?",""))),"")</f>
        <v/>
      </c>
      <c r="R54" s="138" t="str">
        <f>_xlfn.IFNA(IF(HLOOKUP($A54,PROBAST!$A$6:$AE$77,58,)="Low RoB","+",IF(HLOOKUP($A54,PROBAST!$A$6:$AE$77,58,)="High RoB","-",IF(HLOOKUP($A54,PROBAST!$A$6:$AE$77,58,)="Unclear","?",""))),"")</f>
        <v/>
      </c>
      <c r="S54" s="139"/>
      <c r="T54" s="139"/>
      <c r="U54" s="139"/>
      <c r="V54" s="139"/>
      <c r="W54" s="139"/>
    </row>
    <row r="55" spans="1:23" ht="22.5" customHeight="1" thickBot="1" x14ac:dyDescent="0.3">
      <c r="A55" s="370"/>
      <c r="B55" s="377"/>
      <c r="C55" s="367"/>
      <c r="D55" s="378"/>
      <c r="E55" s="367"/>
      <c r="F55" s="367"/>
      <c r="G55" s="367"/>
      <c r="H55" s="376"/>
      <c r="I55" s="367"/>
      <c r="J55" s="367"/>
      <c r="K55" s="366"/>
      <c r="L55" s="376"/>
      <c r="M55" s="376"/>
      <c r="N55" s="141" t="s">
        <v>61</v>
      </c>
      <c r="O55" s="142" t="str">
        <f>_xlfn.IFNA(IF(HLOOKUP($A54,PROBAST!$A$6:$AE$77,12,)="Low concern","+",IF(HLOOKUP($A54,PROBAST!$A$6:$AE$77,12,)="High concern","-",IF(HLOOKUP($A54,PROBAST!$A$6:$AE$77,12,)="Unclear","?",""))),"")</f>
        <v/>
      </c>
      <c r="P55" s="142" t="str">
        <f>_xlfn.IFNA(IF(HLOOKUP($A54,PROBAST!$A$6:$AE$77,26,)="Low concern","+",IF(HLOOKUP($A54,PROBAST!$A$6:$AE$77,26,)="High concern","-",IF(HLOOKUP($A54,PROBAST!$A$6:$AE$77,26,)="Unclear","?",""))),"")</f>
        <v/>
      </c>
      <c r="Q55" s="142" t="str">
        <f>_xlfn.IFNA(IF(HLOOKUP($A54,PROBAST!$A$6:$AE$77,40,)="Low concern","+",IF(HLOOKUP($A54,PROBAST!$A$6:$AE$77,40,)="High concern","-",IF(HLOOKUP($A54,PROBAST!$A$6:$AE$77,40,)="Unclear","?",""))),"")</f>
        <v/>
      </c>
      <c r="R55" s="143"/>
    </row>
    <row r="56" spans="1:23" s="140" customFormat="1" ht="22.5" customHeight="1" x14ac:dyDescent="0.25">
      <c r="A56" s="370" t="str">
        <f>CHARMS!CC$6</f>
        <v/>
      </c>
      <c r="B56" s="372" t="str">
        <f>HLOOKUP($A56,CHARMS!$A$6:$CQ$89,1,)</f>
        <v/>
      </c>
      <c r="C56" s="365" t="str">
        <f>IF($A56="","",HLOOKUP($A56,CHARMS!$A$6:$CQ$89,48,))</f>
        <v/>
      </c>
      <c r="D56" s="374" t="str">
        <f>IF($A56="","",IF(HLOOKUP($A56,CHARMS!$A$6:$CQ$89,40,)=0,"Unkown",HLOOKUP($A56,CHARMS!$A$6:$CQ$89,40,)))</f>
        <v/>
      </c>
      <c r="E56" s="365" t="str">
        <f>IF($A56="","",IF(HLOOKUP($A56,CHARMS!$A$6:$CQ$89,40,)=0,"Unkown",CONCATENATE(HLOOKUP($A56,CHARMS!$A$6:$CQ$89,41,)," (",FIXED((HLOOKUP($A56,CHARMS!$A$6:$CQ$89,41,)/HLOOKUP($A56,CHARMS!$A$6:$CQ$89,40,))*100,1),")")))</f>
        <v/>
      </c>
      <c r="F56" s="365" t="str">
        <f>IF($A56="","",IF(HLOOKUP($A56,CHARMS!$A$6:$CQ$89,33,)=0,"Unkown",HLOOKUP($A56,CHARMS!$A$6:$CQ$89,33,)))</f>
        <v/>
      </c>
      <c r="G56" s="365" t="str">
        <f>IF($A56="","",HLOOKUP($A56,CHARMS!$A$6:$CQ$89,79,))</f>
        <v/>
      </c>
      <c r="H56" s="368" t="str">
        <f>IF($A56="","",HLOOKUP($A56,CHARMS!$A$6:$CQ$89,43,))</f>
        <v/>
      </c>
      <c r="I56" s="365" t="str">
        <f>IF($A56="","",HLOOKUP($A56,CHARMS!$A$6:$CQ$89,49,))</f>
        <v/>
      </c>
      <c r="J56" s="365" t="str">
        <f>IF($A56="","",HLOOKUP($A56,CHARMS!$A$6:$CQ$89,50,))</f>
        <v/>
      </c>
      <c r="K56" s="365" t="str">
        <f>CONCATENATE(IF($A56="","",IF(OR(HLOOKUP($A56,CHARMS!$A$6:$CQ$89,40,)=0,ISTEXT(HLOOKUP($A56,CHARMS!$A$6:$CQ$89,45,))),"n (%): Unkown",CONCATENATE("n (%): ",HLOOKUP($A56,CHARMS!$A$6:$CQ$89,45,)," (",FIXED((HLOOKUP($A56,CHARMS!$A$6:$CQ$89,45,)/HLOOKUP($A56,CHARMS!$A$6:$CQ$89,40,))*100,1),")"))),CHAR(10),IF($A56="","",CONCATENATE("Method: ",HLOOKUP($A56,CHARMS!$A$6:$CQ$89,46,))))</f>
        <v xml:space="preserve">
</v>
      </c>
      <c r="L56" s="368" t="str">
        <f>IF($A56="","",CONCATENATE("Int: ",HLOOKUP($A56,CHARMS!$A$6:$CQ$89,75,),CHAR(10),"Ext : ",HLOOKUP($A56,CHARMS!$A$6:$CQ$89,76,)))</f>
        <v/>
      </c>
      <c r="M56" s="368" t="str">
        <f>IF($A56="","",CONCATENATE("Cal: ",HLOOKUP($A56,CHARMS!$A$6:$CQ$89,53,),CHAR(10),"Disc : ",HLOOKUP($A56,CHARMS!$A$6:$CQ$89,59,),CHAR(10),"Ov: ",HLOOKUP($A56,CHARMS!$A$6:$CQ$89,66,)))</f>
        <v/>
      </c>
      <c r="N56" s="136" t="s">
        <v>62</v>
      </c>
      <c r="O56" s="137" t="str">
        <f>_xlfn.IFNA(IF(HLOOKUP($A56,PROBAST!$A$6:$AE$77,11,)="Low RoB","+",IF(HLOOKUP($A56,PROBAST!$A$6:$AE$77,11,)="High RoB","-",IF(HLOOKUP($A56,PROBAST!$A$6:$AE$77,11,)="Unclear","?",""))),"")</f>
        <v/>
      </c>
      <c r="P56" s="137" t="str">
        <f>_xlfn.IFNA(IF(HLOOKUP($A56,PROBAST!$A$6:$AE$77,25,)="Low RoB","+",IF(HLOOKUP($A56,PROBAST!$A$6:$AE$77,25,)="High RoB","-",IF(HLOOKUP($A56,PROBAST!$A$6:$AE$77,25,)="Unclear","?",""))),"")</f>
        <v/>
      </c>
      <c r="Q56" s="137" t="str">
        <f>_xlfn.IFNA(IF(HLOOKUP($A56,PROBAST!$A$6:$AE$77,39,)="Low RoB","+",IF(HLOOKUP($A56,PROBAST!$A$6:$AE$77,39,)="High RoB","-",IF(HLOOKUP($A56,PROBAST!$A$6:$AE$77,39,)="Unclear","?",""))),"")</f>
        <v/>
      </c>
      <c r="R56" s="138" t="str">
        <f>_xlfn.IFNA(IF(HLOOKUP($A56,PROBAST!$A$6:$AE$77,58,)="Low RoB","+",IF(HLOOKUP($A56,PROBAST!$A$6:$AE$77,58,)="High RoB","-",IF(HLOOKUP($A56,PROBAST!$A$6:$AE$77,58,)="Unclear","?",""))),"")</f>
        <v/>
      </c>
      <c r="S56" s="139"/>
      <c r="T56" s="139"/>
      <c r="U56" s="139"/>
      <c r="V56" s="139"/>
      <c r="W56" s="139"/>
    </row>
    <row r="57" spans="1:23" ht="22.5" customHeight="1" thickBot="1" x14ac:dyDescent="0.3">
      <c r="A57" s="370"/>
      <c r="B57" s="377"/>
      <c r="C57" s="367"/>
      <c r="D57" s="378"/>
      <c r="E57" s="367"/>
      <c r="F57" s="367"/>
      <c r="G57" s="367"/>
      <c r="H57" s="376"/>
      <c r="I57" s="367"/>
      <c r="J57" s="367"/>
      <c r="K57" s="366"/>
      <c r="L57" s="376"/>
      <c r="M57" s="376"/>
      <c r="N57" s="141" t="s">
        <v>61</v>
      </c>
      <c r="O57" s="142" t="str">
        <f>_xlfn.IFNA(IF(HLOOKUP($A56,PROBAST!$A$6:$AE$77,12,)="Low concern","+",IF(HLOOKUP($A56,PROBAST!$A$6:$AE$77,12,)="High concern","-",IF(HLOOKUP($A56,PROBAST!$A$6:$AE$77,12,)="Unclear","?",""))),"")</f>
        <v/>
      </c>
      <c r="P57" s="142" t="str">
        <f>_xlfn.IFNA(IF(HLOOKUP($A56,PROBAST!$A$6:$AE$77,26,)="Low concern","+",IF(HLOOKUP($A56,PROBAST!$A$6:$AE$77,26,)="High concern","-",IF(HLOOKUP($A56,PROBAST!$A$6:$AE$77,26,)="Unclear","?",""))),"")</f>
        <v/>
      </c>
      <c r="Q57" s="142" t="str">
        <f>_xlfn.IFNA(IF(HLOOKUP($A56,PROBAST!$A$6:$AE$77,40,)="Low concern","+",IF(HLOOKUP($A56,PROBAST!$A$6:$AE$77,40,)="High concern","-",IF(HLOOKUP($A56,PROBAST!$A$6:$AE$77,40,)="Unclear","?",""))),"")</f>
        <v/>
      </c>
      <c r="R57" s="143"/>
    </row>
    <row r="58" spans="1:23" s="140" customFormat="1" ht="22.5" customHeight="1" x14ac:dyDescent="0.25">
      <c r="A58" s="370" t="str">
        <f>CHARMS!CF$6</f>
        <v/>
      </c>
      <c r="B58" s="372" t="str">
        <f>HLOOKUP($A58,CHARMS!$A$6:$CQ$89,1,)</f>
        <v/>
      </c>
      <c r="C58" s="365" t="str">
        <f>IF($A58="","",HLOOKUP($A58,CHARMS!$A$6:$CQ$89,48,))</f>
        <v/>
      </c>
      <c r="D58" s="374" t="str">
        <f>IF($A58="","",IF(HLOOKUP($A58,CHARMS!$A$6:$CQ$89,40,)=0,"Unkown",HLOOKUP($A58,CHARMS!$A$6:$CQ$89,40,)))</f>
        <v/>
      </c>
      <c r="E58" s="365" t="str">
        <f>IF($A58="","",IF(HLOOKUP($A58,CHARMS!$A$6:$CQ$89,40,)=0,"Unkown",CONCATENATE(HLOOKUP($A58,CHARMS!$A$6:$CQ$89,41,)," (",FIXED((HLOOKUP($A58,CHARMS!$A$6:$CQ$89,41,)/HLOOKUP($A58,CHARMS!$A$6:$CQ$89,40,))*100,1),")")))</f>
        <v/>
      </c>
      <c r="F58" s="365" t="str">
        <f>IF($A58="","",IF(HLOOKUP($A58,CHARMS!$A$6:$CQ$89,33,)=0,"Unkown",HLOOKUP($A58,CHARMS!$A$6:$CQ$89,33,)))</f>
        <v/>
      </c>
      <c r="G58" s="365" t="str">
        <f>IF($A58="","",HLOOKUP($A58,CHARMS!$A$6:$CQ$89,79,))</f>
        <v/>
      </c>
      <c r="H58" s="368" t="str">
        <f>IF($A58="","",HLOOKUP($A58,CHARMS!$A$6:$CQ$89,43,))</f>
        <v/>
      </c>
      <c r="I58" s="365" t="str">
        <f>IF($A58="","",HLOOKUP($A58,CHARMS!$A$6:$CQ$89,49,))</f>
        <v/>
      </c>
      <c r="J58" s="365" t="str">
        <f>IF($A58="","",HLOOKUP($A58,CHARMS!$A$6:$CQ$89,50,))</f>
        <v/>
      </c>
      <c r="K58" s="365" t="str">
        <f>CONCATENATE(IF($A58="","",IF(OR(HLOOKUP($A58,CHARMS!$A$6:$CQ$89,40,)=0,ISTEXT(HLOOKUP($A58,CHARMS!$A$6:$CQ$89,45,))),"n (%): Unkown",CONCATENATE("n (%): ",HLOOKUP($A58,CHARMS!$A$6:$CQ$89,45,)," (",FIXED((HLOOKUP($A58,CHARMS!$A$6:$CQ$89,45,)/HLOOKUP($A58,CHARMS!$A$6:$CQ$89,40,))*100,1),")"))),CHAR(10),IF($A58="","",CONCATENATE("Method: ",HLOOKUP($A58,CHARMS!$A$6:$CQ$89,46,))))</f>
        <v xml:space="preserve">
</v>
      </c>
      <c r="L58" s="368" t="str">
        <f>IF($A58="","",CONCATENATE("Int: ",HLOOKUP($A58,CHARMS!$A$6:$CQ$89,75,),CHAR(10),"Ext : ",HLOOKUP($A58,CHARMS!$A$6:$CQ$89,76,)))</f>
        <v/>
      </c>
      <c r="M58" s="368" t="str">
        <f>IF($A58="","",CONCATENATE("Cal: ",HLOOKUP($A58,CHARMS!$A$6:$CQ$89,53,),CHAR(10),"Disc : ",HLOOKUP($A58,CHARMS!$A$6:$CQ$89,59,),CHAR(10),"Ov: ",HLOOKUP($A58,CHARMS!$A$6:$CQ$89,66,)))</f>
        <v/>
      </c>
      <c r="N58" s="136" t="s">
        <v>62</v>
      </c>
      <c r="O58" s="137" t="str">
        <f>_xlfn.IFNA(IF(HLOOKUP($A58,PROBAST!$A$6:$AE$77,11,)="Low RoB","+",IF(HLOOKUP($A58,PROBAST!$A$6:$AE$77,11,)="High RoB","-",IF(HLOOKUP($A58,PROBAST!$A$6:$AE$77,11,)="Unclear","?",""))),"")</f>
        <v/>
      </c>
      <c r="P58" s="137" t="str">
        <f>_xlfn.IFNA(IF(HLOOKUP($A58,PROBAST!$A$6:$AE$77,25,)="Low RoB","+",IF(HLOOKUP($A58,PROBAST!$A$6:$AE$77,25,)="High RoB","-",IF(HLOOKUP($A58,PROBAST!$A$6:$AE$77,25,)="Unclear","?",""))),"")</f>
        <v/>
      </c>
      <c r="Q58" s="137" t="str">
        <f>_xlfn.IFNA(IF(HLOOKUP($A58,PROBAST!$A$6:$AE$77,39,)="Low RoB","+",IF(HLOOKUP($A58,PROBAST!$A$6:$AE$77,39,)="High RoB","-",IF(HLOOKUP($A58,PROBAST!$A$6:$AE$77,39,)="Unclear","?",""))),"")</f>
        <v/>
      </c>
      <c r="R58" s="138" t="str">
        <f>_xlfn.IFNA(IF(HLOOKUP($A58,PROBAST!$A$6:$AE$77,58,)="Low RoB","+",IF(HLOOKUP($A58,PROBAST!$A$6:$AE$77,58,)="High RoB","-",IF(HLOOKUP($A58,PROBAST!$A$6:$AE$77,58,)="Unclear","?",""))),"")</f>
        <v/>
      </c>
      <c r="S58" s="139"/>
      <c r="T58" s="139"/>
      <c r="U58" s="139"/>
      <c r="V58" s="139"/>
      <c r="W58" s="139"/>
    </row>
    <row r="59" spans="1:23" ht="22.5" customHeight="1" thickBot="1" x14ac:dyDescent="0.3">
      <c r="A59" s="370"/>
      <c r="B59" s="377"/>
      <c r="C59" s="367"/>
      <c r="D59" s="378"/>
      <c r="E59" s="367"/>
      <c r="F59" s="367"/>
      <c r="G59" s="367"/>
      <c r="H59" s="376"/>
      <c r="I59" s="367"/>
      <c r="J59" s="367"/>
      <c r="K59" s="366"/>
      <c r="L59" s="376"/>
      <c r="M59" s="376"/>
      <c r="N59" s="141" t="s">
        <v>61</v>
      </c>
      <c r="O59" s="142" t="str">
        <f>_xlfn.IFNA(IF(HLOOKUP($A58,PROBAST!$A$6:$AE$77,12,)="Low concern","+",IF(HLOOKUP($A58,PROBAST!$A$6:$AE$77,12,)="High concern","-",IF(HLOOKUP($A58,PROBAST!$A$6:$AE$77,12,)="Unclear","?",""))),"")</f>
        <v/>
      </c>
      <c r="P59" s="142" t="str">
        <f>_xlfn.IFNA(IF(HLOOKUP($A58,PROBAST!$A$6:$AE$77,26,)="Low concern","+",IF(HLOOKUP($A58,PROBAST!$A$6:$AE$77,26,)="High concern","-",IF(HLOOKUP($A58,PROBAST!$A$6:$AE$77,26,)="Unclear","?",""))),"")</f>
        <v/>
      </c>
      <c r="Q59" s="142" t="str">
        <f>_xlfn.IFNA(IF(HLOOKUP($A58,PROBAST!$A$6:$AE$77,40,)="Low concern","+",IF(HLOOKUP($A58,PROBAST!$A$6:$AE$77,40,)="High concern","-",IF(HLOOKUP($A58,PROBAST!$A$6:$AE$77,40,)="Unclear","?",""))),"")</f>
        <v/>
      </c>
      <c r="R59" s="143"/>
    </row>
    <row r="60" spans="1:23" s="140" customFormat="1" ht="22.5" customHeight="1" x14ac:dyDescent="0.25">
      <c r="A60" s="370" t="str">
        <f>CHARMS!CI$6</f>
        <v/>
      </c>
      <c r="B60" s="372" t="str">
        <f>HLOOKUP($A60,CHARMS!$A$6:$CQ$89,1,)</f>
        <v/>
      </c>
      <c r="C60" s="365" t="str">
        <f>IF($A60="","",HLOOKUP($A60,CHARMS!$A$6:$CQ$89,48,))</f>
        <v/>
      </c>
      <c r="D60" s="374" t="str">
        <f>IF($A60="","",IF(HLOOKUP($A60,CHARMS!$A$6:$CQ$89,40,)=0,"Unkown",HLOOKUP($A60,CHARMS!$A$6:$CQ$89,40,)))</f>
        <v/>
      </c>
      <c r="E60" s="365" t="str">
        <f>IF($A60="","",IF(HLOOKUP($A60,CHARMS!$A$6:$CQ$89,40,)=0,"Unkown",CONCATENATE(HLOOKUP($A60,CHARMS!$A$6:$CQ$89,41,)," (",FIXED((HLOOKUP($A60,CHARMS!$A$6:$CQ$89,41,)/HLOOKUP($A60,CHARMS!$A$6:$CQ$89,40,))*100,1),")")))</f>
        <v/>
      </c>
      <c r="F60" s="365" t="str">
        <f>IF($A60="","",IF(HLOOKUP($A60,CHARMS!$A$6:$CQ$89,33,)=0,"Unkown",HLOOKUP($A60,CHARMS!$A$6:$CQ$89,33,)))</f>
        <v/>
      </c>
      <c r="G60" s="365" t="str">
        <f>IF($A60="","",HLOOKUP($A60,CHARMS!$A$6:$CQ$89,79,))</f>
        <v/>
      </c>
      <c r="H60" s="368" t="str">
        <f>IF($A60="","",HLOOKUP($A60,CHARMS!$A$6:$CQ$89,43,))</f>
        <v/>
      </c>
      <c r="I60" s="365" t="str">
        <f>IF($A60="","",HLOOKUP($A60,CHARMS!$A$6:$CQ$89,49,))</f>
        <v/>
      </c>
      <c r="J60" s="365" t="str">
        <f>IF($A60="","",HLOOKUP($A60,CHARMS!$A$6:$CQ$89,50,))</f>
        <v/>
      </c>
      <c r="K60" s="365" t="str">
        <f>CONCATENATE(IF($A60="","",IF(OR(HLOOKUP($A60,CHARMS!$A$6:$CQ$89,40,)=0,ISTEXT(HLOOKUP($A60,CHARMS!$A$6:$CQ$89,45,))),"n (%): Unkown",CONCATENATE("n (%): ",HLOOKUP($A60,CHARMS!$A$6:$CQ$89,45,)," (",FIXED((HLOOKUP($A60,CHARMS!$A$6:$CQ$89,45,)/HLOOKUP($A60,CHARMS!$A$6:$CQ$89,40,))*100,1),")"))),CHAR(10),IF($A60="","",CONCATENATE("Method: ",HLOOKUP($A60,CHARMS!$A$6:$CQ$89,46,))))</f>
        <v xml:space="preserve">
</v>
      </c>
      <c r="L60" s="368" t="str">
        <f>IF($A60="","",CONCATENATE("Int: ",HLOOKUP($A60,CHARMS!$A$6:$CQ$89,75,),CHAR(10),"Ext : ",HLOOKUP($A60,CHARMS!$A$6:$CQ$89,76,)))</f>
        <v/>
      </c>
      <c r="M60" s="368" t="str">
        <f>IF($A60="","",CONCATENATE("Cal: ",HLOOKUP($A60,CHARMS!$A$6:$CQ$89,53,),CHAR(10),"Disc : ",HLOOKUP($A60,CHARMS!$A$6:$CQ$89,59,),CHAR(10),"Ov: ",HLOOKUP($A60,CHARMS!$A$6:$CQ$89,66,)))</f>
        <v/>
      </c>
      <c r="N60" s="136" t="s">
        <v>62</v>
      </c>
      <c r="O60" s="137" t="str">
        <f>_xlfn.IFNA(IF(HLOOKUP($A60,PROBAST!$A$6:$AE$77,11,)="Low RoB","+",IF(HLOOKUP($A60,PROBAST!$A$6:$AE$77,11,)="High RoB","-",IF(HLOOKUP($A60,PROBAST!$A$6:$AE$77,11,)="Unclear","?",""))),"")</f>
        <v/>
      </c>
      <c r="P60" s="137" t="str">
        <f>_xlfn.IFNA(IF(HLOOKUP($A60,PROBAST!$A$6:$AE$77,25,)="Low RoB","+",IF(HLOOKUP($A60,PROBAST!$A$6:$AE$77,25,)="High RoB","-",IF(HLOOKUP($A60,PROBAST!$A$6:$AE$77,25,)="Unclear","?",""))),"")</f>
        <v/>
      </c>
      <c r="Q60" s="137" t="str">
        <f>_xlfn.IFNA(IF(HLOOKUP($A60,PROBAST!$A$6:$AE$77,39,)="Low RoB","+",IF(HLOOKUP($A60,PROBAST!$A$6:$AE$77,39,)="High RoB","-",IF(HLOOKUP($A60,PROBAST!$A$6:$AE$77,39,)="Unclear","?",""))),"")</f>
        <v/>
      </c>
      <c r="R60" s="138" t="str">
        <f>_xlfn.IFNA(IF(HLOOKUP($A60,PROBAST!$A$6:$AE$77,58,)="Low RoB","+",IF(HLOOKUP($A60,PROBAST!$A$6:$AE$77,58,)="High RoB","-",IF(HLOOKUP($A60,PROBAST!$A$6:$AE$77,58,)="Unclear","?",""))),"")</f>
        <v/>
      </c>
      <c r="S60" s="139"/>
      <c r="T60" s="139"/>
      <c r="U60" s="139"/>
      <c r="V60" s="139"/>
      <c r="W60" s="139"/>
    </row>
    <row r="61" spans="1:23" ht="22.5" customHeight="1" thickBot="1" x14ac:dyDescent="0.3">
      <c r="A61" s="370"/>
      <c r="B61" s="377"/>
      <c r="C61" s="367"/>
      <c r="D61" s="378"/>
      <c r="E61" s="367"/>
      <c r="F61" s="367"/>
      <c r="G61" s="367"/>
      <c r="H61" s="376"/>
      <c r="I61" s="367"/>
      <c r="J61" s="367"/>
      <c r="K61" s="366"/>
      <c r="L61" s="376"/>
      <c r="M61" s="376"/>
      <c r="N61" s="141" t="s">
        <v>61</v>
      </c>
      <c r="O61" s="142" t="str">
        <f>_xlfn.IFNA(IF(HLOOKUP($A60,PROBAST!$A$6:$AE$77,12,)="Low concern","+",IF(HLOOKUP($A60,PROBAST!$A$6:$AE$77,12,)="High concern","-",IF(HLOOKUP($A60,PROBAST!$A$6:$AE$77,12,)="Unclear","?",""))),"")</f>
        <v/>
      </c>
      <c r="P61" s="142" t="str">
        <f>_xlfn.IFNA(IF(HLOOKUP($A60,PROBAST!$A$6:$AE$77,26,)="Low concern","+",IF(HLOOKUP($A60,PROBAST!$A$6:$AE$77,26,)="High concern","-",IF(HLOOKUP($A60,PROBAST!$A$6:$AE$77,26,)="Unclear","?",""))),"")</f>
        <v/>
      </c>
      <c r="Q61" s="142" t="str">
        <f>_xlfn.IFNA(IF(HLOOKUP($A60,PROBAST!$A$6:$AE$77,40,)="Low concern","+",IF(HLOOKUP($A60,PROBAST!$A$6:$AE$77,40,)="High concern","-",IF(HLOOKUP($A60,PROBAST!$A$6:$AE$77,40,)="Unclear","?",""))),"")</f>
        <v/>
      </c>
      <c r="R61" s="143"/>
    </row>
    <row r="62" spans="1:23" s="140" customFormat="1" ht="22.5" customHeight="1" x14ac:dyDescent="0.25">
      <c r="A62" s="370" t="str">
        <f>CHARMS!CL$6</f>
        <v/>
      </c>
      <c r="B62" s="372" t="str">
        <f>HLOOKUP($A62,CHARMS!$A$6:$CQ$89,1,)</f>
        <v/>
      </c>
      <c r="C62" s="365" t="str">
        <f>IF($A62="","",HLOOKUP($A62,CHARMS!$A$6:$CQ$89,48,))</f>
        <v/>
      </c>
      <c r="D62" s="374" t="str">
        <f>IF($A62="","",IF(HLOOKUP($A62,CHARMS!$A$6:$CQ$89,40,)=0,"Unkown",HLOOKUP($A62,CHARMS!$A$6:$CQ$89,40,)))</f>
        <v/>
      </c>
      <c r="E62" s="365" t="str">
        <f>IF($A62="","",IF(HLOOKUP($A62,CHARMS!$A$6:$CQ$89,40,)=0,"Unkown",CONCATENATE(HLOOKUP($A62,CHARMS!$A$6:$CQ$89,41,)," (",FIXED((HLOOKUP($A62,CHARMS!$A$6:$CQ$89,41,)/HLOOKUP($A62,CHARMS!$A$6:$CQ$89,40,))*100,1),")")))</f>
        <v/>
      </c>
      <c r="F62" s="365" t="str">
        <f>IF($A62="","",IF(HLOOKUP($A62,CHARMS!$A$6:$CQ$89,33,)=0,"Unkown",HLOOKUP($A62,CHARMS!$A$6:$CQ$89,33,)))</f>
        <v/>
      </c>
      <c r="G62" s="365" t="str">
        <f>IF($A62="","",HLOOKUP($A62,CHARMS!$A$6:$CQ$89,79,))</f>
        <v/>
      </c>
      <c r="H62" s="368" t="str">
        <f>IF($A62="","",HLOOKUP($A62,CHARMS!$A$6:$CQ$89,43,))</f>
        <v/>
      </c>
      <c r="I62" s="365" t="str">
        <f>IF($A62="","",HLOOKUP($A62,CHARMS!$A$6:$CQ$89,49,))</f>
        <v/>
      </c>
      <c r="J62" s="365" t="str">
        <f>IF($A62="","",HLOOKUP($A62,CHARMS!$A$6:$CQ$89,50,))</f>
        <v/>
      </c>
      <c r="K62" s="365" t="str">
        <f>CONCATENATE(IF($A62="","",IF(OR(HLOOKUP($A62,CHARMS!$A$6:$CQ$89,40,)=0,ISTEXT(HLOOKUP($A62,CHARMS!$A$6:$CQ$89,45,))),"n (%): Unkown",CONCATENATE("n (%): ",HLOOKUP($A62,CHARMS!$A$6:$CQ$89,45,)," (",FIXED((HLOOKUP($A62,CHARMS!$A$6:$CQ$89,45,)/HLOOKUP($A62,CHARMS!$A$6:$CQ$89,40,))*100,1),")"))),CHAR(10),IF($A62="","",CONCATENATE("Method: ",HLOOKUP($A62,CHARMS!$A$6:$CQ$89,46,))))</f>
        <v xml:space="preserve">
</v>
      </c>
      <c r="L62" s="368" t="str">
        <f>IF($A62="","",CONCATENATE("Int: ",HLOOKUP($A62,CHARMS!$A$6:$CQ$89,75,),CHAR(10),"Ext : ",HLOOKUP($A62,CHARMS!$A$6:$CQ$89,76,)))</f>
        <v/>
      </c>
      <c r="M62" s="368" t="str">
        <f>IF($A62="","",CONCATENATE("Cal: ",HLOOKUP($A62,CHARMS!$A$6:$CQ$89,53,),CHAR(10),"Disc : ",HLOOKUP($A62,CHARMS!$A$6:$CQ$89,59,),CHAR(10),"Ov: ",HLOOKUP($A62,CHARMS!$A$6:$CQ$89,66,)))</f>
        <v/>
      </c>
      <c r="N62" s="136" t="s">
        <v>62</v>
      </c>
      <c r="O62" s="137" t="str">
        <f>_xlfn.IFNA(IF(HLOOKUP($A62,PROBAST!$A$6:$AE$77,11,)="Low RoB","+",IF(HLOOKUP($A62,PROBAST!$A$6:$AE$77,11,)="High RoB","-",IF(HLOOKUP($A62,PROBAST!$A$6:$AE$77,11,)="Unclear","?",""))),"")</f>
        <v/>
      </c>
      <c r="P62" s="137" t="str">
        <f>_xlfn.IFNA(IF(HLOOKUP($A62,PROBAST!$A$6:$AE$77,25,)="Low RoB","+",IF(HLOOKUP($A62,PROBAST!$A$6:$AE$77,25,)="High RoB","-",IF(HLOOKUP($A62,PROBAST!$A$6:$AE$77,25,)="Unclear","?",""))),"")</f>
        <v/>
      </c>
      <c r="Q62" s="137" t="str">
        <f>_xlfn.IFNA(IF(HLOOKUP($A62,PROBAST!$A$6:$AE$77,39,)="Low RoB","+",IF(HLOOKUP($A62,PROBAST!$A$6:$AE$77,39,)="High RoB","-",IF(HLOOKUP($A62,PROBAST!$A$6:$AE$77,39,)="Unclear","?",""))),"")</f>
        <v/>
      </c>
      <c r="R62" s="138" t="str">
        <f>_xlfn.IFNA(IF(HLOOKUP($A62,PROBAST!$A$6:$AE$77,58,)="Low RoB","+",IF(HLOOKUP($A62,PROBAST!$A$6:$AE$77,58,)="High RoB","-",IF(HLOOKUP($A62,PROBAST!$A$6:$AE$77,58,)="Unclear","?",""))),"")</f>
        <v/>
      </c>
      <c r="S62" s="139"/>
      <c r="T62" s="139"/>
      <c r="U62" s="139"/>
      <c r="V62" s="139"/>
      <c r="W62" s="139"/>
    </row>
    <row r="63" spans="1:23" ht="22.5" customHeight="1" thickBot="1" x14ac:dyDescent="0.3">
      <c r="A63" s="370"/>
      <c r="B63" s="377"/>
      <c r="C63" s="367"/>
      <c r="D63" s="378"/>
      <c r="E63" s="367"/>
      <c r="F63" s="367"/>
      <c r="G63" s="367"/>
      <c r="H63" s="376"/>
      <c r="I63" s="367"/>
      <c r="J63" s="367"/>
      <c r="K63" s="366"/>
      <c r="L63" s="376"/>
      <c r="M63" s="376"/>
      <c r="N63" s="141" t="s">
        <v>61</v>
      </c>
      <c r="O63" s="142" t="str">
        <f>_xlfn.IFNA(IF(HLOOKUP($A62,PROBAST!$A$6:$AE$77,12,)="Low concern","+",IF(HLOOKUP($A62,PROBAST!$A$6:$AE$77,12,)="High concern","-",IF(HLOOKUP($A62,PROBAST!$A$6:$AE$77,12,)="Unclear","?",""))),"")</f>
        <v/>
      </c>
      <c r="P63" s="142" t="str">
        <f>_xlfn.IFNA(IF(HLOOKUP($A62,PROBAST!$A$6:$AE$77,26,)="Low concern","+",IF(HLOOKUP($A62,PROBAST!$A$6:$AE$77,26,)="High concern","-",IF(HLOOKUP($A62,PROBAST!$A$6:$AE$77,26,)="Unclear","?",""))),"")</f>
        <v/>
      </c>
      <c r="Q63" s="142" t="str">
        <f>_xlfn.IFNA(IF(HLOOKUP($A62,PROBAST!$A$6:$AE$77,40,)="Low concern","+",IF(HLOOKUP($A62,PROBAST!$A$6:$AE$77,40,)="High concern","-",IF(HLOOKUP($A62,PROBAST!$A$6:$AE$77,40,)="Unclear","?",""))),"")</f>
        <v/>
      </c>
      <c r="R63" s="143"/>
    </row>
    <row r="64" spans="1:23" s="140" customFormat="1" ht="22.5" customHeight="1" x14ac:dyDescent="0.25">
      <c r="A64" s="370" t="str">
        <f>CHARMS!CO$6</f>
        <v/>
      </c>
      <c r="B64" s="372" t="str">
        <f>HLOOKUP($A64,CHARMS!$A$6:$CQ$89,1,)</f>
        <v/>
      </c>
      <c r="C64" s="365" t="str">
        <f>IF($A64="","",HLOOKUP($A64,CHARMS!$A$6:$CQ$89,48,))</f>
        <v/>
      </c>
      <c r="D64" s="374" t="str">
        <f>IF($A64="","",IF(HLOOKUP($A64,CHARMS!$A$6:$CQ$89,40,)=0,"Unkown",HLOOKUP($A64,CHARMS!$A$6:$CQ$89,40,)))</f>
        <v/>
      </c>
      <c r="E64" s="365" t="str">
        <f>IF($A64="","",IF(HLOOKUP($A64,CHARMS!$A$6:$CQ$89,40,)=0,"Unkown",CONCATENATE(HLOOKUP($A64,CHARMS!$A$6:$CQ$89,41,)," (",FIXED((HLOOKUP($A64,CHARMS!$A$6:$CQ$89,41,)/HLOOKUP($A64,CHARMS!$A$6:$CQ$89,40,))*100,1),")")))</f>
        <v/>
      </c>
      <c r="F64" s="365" t="str">
        <f>IF($A64="","",IF(HLOOKUP($A64,CHARMS!$A$6:$CQ$89,33,)=0,"Unkown",HLOOKUP($A64,CHARMS!$A$6:$CQ$89,33,)))</f>
        <v/>
      </c>
      <c r="G64" s="365" t="str">
        <f>IF($A64="","",HLOOKUP($A64,CHARMS!$A$6:$CQ$89,79,))</f>
        <v/>
      </c>
      <c r="H64" s="368" t="str">
        <f>IF($A64="","",HLOOKUP($A64,CHARMS!$A$6:$CQ$89,43,))</f>
        <v/>
      </c>
      <c r="I64" s="365" t="str">
        <f>IF($A64="","",HLOOKUP($A64,CHARMS!$A$6:$CQ$89,49,))</f>
        <v/>
      </c>
      <c r="J64" s="365" t="str">
        <f>IF($A64="","",HLOOKUP($A64,CHARMS!$A$6:$CQ$89,50,))</f>
        <v/>
      </c>
      <c r="K64" s="365" t="str">
        <f>CONCATENATE(IF($A64="","",IF(OR(HLOOKUP($A64,CHARMS!$A$6:$CQ$89,40,)=0,ISTEXT(HLOOKUP($A64,CHARMS!$A$6:$CQ$89,45,))),"n (%): Unkown",CONCATENATE("n (%): ",HLOOKUP($A64,CHARMS!$A$6:$CQ$89,45,)," (",FIXED((HLOOKUP($A64,CHARMS!$A$6:$CQ$89,45,)/HLOOKUP($A64,CHARMS!$A$6:$CQ$89,40,))*100,1),")"))),CHAR(10),IF($A64="","",CONCATENATE("Method: ",HLOOKUP($A64,CHARMS!$A$6:$CQ$89,46,))))</f>
        <v xml:space="preserve">
</v>
      </c>
      <c r="L64" s="368" t="str">
        <f>IF($A64="","",CONCATENATE("Int: ",HLOOKUP($A64,CHARMS!$A$6:$CQ$89,75,),CHAR(10),"Ext : ",HLOOKUP($A64,CHARMS!$A$6:$CQ$89,76,)))</f>
        <v/>
      </c>
      <c r="M64" s="368" t="str">
        <f>IF($A64="","",CONCATENATE("Cal: ",HLOOKUP($A64,CHARMS!$A$6:$CQ$89,53,),CHAR(10),"Disc : ",HLOOKUP($A64,CHARMS!$A$6:$CQ$89,59,),CHAR(10),"Ov: ",HLOOKUP($A64,CHARMS!$A$6:$CQ$89,66,)))</f>
        <v/>
      </c>
      <c r="N64" s="136" t="s">
        <v>62</v>
      </c>
      <c r="O64" s="137" t="str">
        <f>_xlfn.IFNA(IF(HLOOKUP($A64,PROBAST!$A$6:$AE$77,11,)="Low RoB","+",IF(HLOOKUP($A64,PROBAST!$A$6:$AE$77,11,)="High RoB","-",IF(HLOOKUP($A64,PROBAST!$A$6:$AE$77,11,)="Unclear","?",""))),"")</f>
        <v/>
      </c>
      <c r="P64" s="137" t="str">
        <f>_xlfn.IFNA(IF(HLOOKUP($A64,PROBAST!$A$6:$AE$77,25,)="Low RoB","+",IF(HLOOKUP($A64,PROBAST!$A$6:$AE$77,25,)="High RoB","-",IF(HLOOKUP($A64,PROBAST!$A$6:$AE$77,25,)="Unclear","?",""))),"")</f>
        <v/>
      </c>
      <c r="Q64" s="137" t="str">
        <f>_xlfn.IFNA(IF(HLOOKUP($A64,PROBAST!$A$6:$AE$77,39,)="Low RoB","+",IF(HLOOKUP($A64,PROBAST!$A$6:$AE$77,39,)="High RoB","-",IF(HLOOKUP($A64,PROBAST!$A$6:$AE$77,39,)="Unclear","?",""))),"")</f>
        <v/>
      </c>
      <c r="R64" s="138" t="str">
        <f>_xlfn.IFNA(IF(HLOOKUP($A64,PROBAST!$A$6:$AE$77,58,)="Low RoB","+",IF(HLOOKUP($A64,PROBAST!$A$6:$AE$77,58,)="High RoB","-",IF(HLOOKUP($A64,PROBAST!$A$6:$AE$77,58,)="Unclear","?",""))),"")</f>
        <v/>
      </c>
      <c r="S64" s="139"/>
      <c r="T64" s="139"/>
      <c r="U64" s="139"/>
      <c r="V64" s="139"/>
      <c r="W64" s="139"/>
    </row>
    <row r="65" spans="1:23" ht="22.5" customHeight="1" thickBot="1" x14ac:dyDescent="0.3">
      <c r="A65" s="371"/>
      <c r="B65" s="373"/>
      <c r="C65" s="366"/>
      <c r="D65" s="375"/>
      <c r="E65" s="366"/>
      <c r="F65" s="366"/>
      <c r="G65" s="366"/>
      <c r="H65" s="369"/>
      <c r="I65" s="366"/>
      <c r="J65" s="366"/>
      <c r="K65" s="367"/>
      <c r="L65" s="369"/>
      <c r="M65" s="369"/>
      <c r="N65" s="141" t="s">
        <v>61</v>
      </c>
      <c r="O65" s="142" t="str">
        <f>_xlfn.IFNA(IF(HLOOKUP($A64,PROBAST!$A$6:$AE$77,12,)="Low concern","+",IF(HLOOKUP($A64,PROBAST!$A$6:$AE$77,12,)="High concern","-",IF(HLOOKUP($A64,PROBAST!$A$6:$AE$77,12,)="Unclear","?",""))),"")</f>
        <v/>
      </c>
      <c r="P65" s="142" t="str">
        <f>_xlfn.IFNA(IF(HLOOKUP($A64,PROBAST!$A$6:$AE$77,26,)="Low concern","+",IF(HLOOKUP($A64,PROBAST!$A$6:$AE$77,26,)="High concern","-",IF(HLOOKUP($A64,PROBAST!$A$6:$AE$77,26,)="Unclear","?",""))),"")</f>
        <v/>
      </c>
      <c r="Q65" s="142" t="str">
        <f>_xlfn.IFNA(IF(HLOOKUP($A64,PROBAST!$A$6:$AE$77,40,)="Low concern","+",IF(HLOOKUP($A64,PROBAST!$A$6:$AE$77,40,)="High concern","-",IF(HLOOKUP($A64,PROBAST!$A$6:$AE$77,40,)="Unclear","?",""))),"")</f>
        <v/>
      </c>
      <c r="R65" s="143"/>
    </row>
    <row r="66" spans="1:23" s="145" customFormat="1" x14ac:dyDescent="0.25">
      <c r="A66" s="144"/>
      <c r="S66" s="122"/>
      <c r="T66" s="122"/>
      <c r="U66" s="122"/>
      <c r="V66" s="122"/>
      <c r="W66" s="122"/>
    </row>
    <row r="67" spans="1:23" s="122" customFormat="1" x14ac:dyDescent="0.25"/>
    <row r="68" spans="1:23" s="122" customFormat="1" x14ac:dyDescent="0.25"/>
    <row r="69" spans="1:23" s="122" customFormat="1" x14ac:dyDescent="0.25"/>
    <row r="70" spans="1:23" s="122" customFormat="1" x14ac:dyDescent="0.25"/>
    <row r="71" spans="1:23" s="122" customFormat="1" x14ac:dyDescent="0.25"/>
    <row r="72" spans="1:23" s="122" customFormat="1" x14ac:dyDescent="0.25"/>
    <row r="73" spans="1:23" s="122" customFormat="1" x14ac:dyDescent="0.25"/>
    <row r="74" spans="1:23" s="122" customFormat="1" x14ac:dyDescent="0.25"/>
    <row r="75" spans="1:23" s="122" customFormat="1" x14ac:dyDescent="0.25"/>
    <row r="76" spans="1:23" s="122" customFormat="1" x14ac:dyDescent="0.25"/>
    <row r="77" spans="1:23" s="122" customFormat="1" x14ac:dyDescent="0.25"/>
    <row r="78" spans="1:23" s="122" customFormat="1" x14ac:dyDescent="0.25"/>
    <row r="79" spans="1:23" s="122" customFormat="1" x14ac:dyDescent="0.25"/>
    <row r="80" spans="1:23" s="122" customFormat="1" x14ac:dyDescent="0.25"/>
  </sheetData>
  <sheetProtection password="8015" sheet="1" objects="1" scenarios="1"/>
  <mergeCells count="402">
    <mergeCell ref="K4:K5"/>
    <mergeCell ref="B3:R3"/>
    <mergeCell ref="L4:L5"/>
    <mergeCell ref="M4:M5"/>
    <mergeCell ref="O4:R4"/>
    <mergeCell ref="F8:F9"/>
    <mergeCell ref="G8:G9"/>
    <mergeCell ref="H8:H9"/>
    <mergeCell ref="I8:I9"/>
    <mergeCell ref="J8:J9"/>
    <mergeCell ref="L8:L9"/>
    <mergeCell ref="M8:M9"/>
    <mergeCell ref="J4:J5"/>
    <mergeCell ref="M6:M7"/>
    <mergeCell ref="L6:L7"/>
    <mergeCell ref="J6:J7"/>
    <mergeCell ref="I6:I7"/>
    <mergeCell ref="H6:H7"/>
    <mergeCell ref="G6:G7"/>
    <mergeCell ref="F6:F7"/>
    <mergeCell ref="E6:E7"/>
    <mergeCell ref="D6:D7"/>
    <mergeCell ref="B4:B5"/>
    <mergeCell ref="C4:C5"/>
    <mergeCell ref="I4:I5"/>
    <mergeCell ref="H4:H5"/>
    <mergeCell ref="A8:A9"/>
    <mergeCell ref="A10:A11"/>
    <mergeCell ref="B10:B11"/>
    <mergeCell ref="C10:C11"/>
    <mergeCell ref="D10:D11"/>
    <mergeCell ref="B8:B9"/>
    <mergeCell ref="C8:C9"/>
    <mergeCell ref="D8:D9"/>
    <mergeCell ref="E8:E9"/>
    <mergeCell ref="A6:A7"/>
    <mergeCell ref="C6:C7"/>
    <mergeCell ref="B6:B7"/>
    <mergeCell ref="F4:G4"/>
    <mergeCell ref="D4:D5"/>
    <mergeCell ref="M14:M15"/>
    <mergeCell ref="J10:J11"/>
    <mergeCell ref="L10:L11"/>
    <mergeCell ref="M10:M11"/>
    <mergeCell ref="A12:A13"/>
    <mergeCell ref="B12:B13"/>
    <mergeCell ref="C12:C13"/>
    <mergeCell ref="D12:D13"/>
    <mergeCell ref="E12:E13"/>
    <mergeCell ref="F12:F13"/>
    <mergeCell ref="G12:G13"/>
    <mergeCell ref="H12:H13"/>
    <mergeCell ref="I12:I13"/>
    <mergeCell ref="J12:J13"/>
    <mergeCell ref="L12:L13"/>
    <mergeCell ref="M12:M13"/>
    <mergeCell ref="E10:E11"/>
    <mergeCell ref="F10:F11"/>
    <mergeCell ref="G10:G11"/>
    <mergeCell ref="H10:H11"/>
    <mergeCell ref="I10:I11"/>
    <mergeCell ref="A14:A15"/>
    <mergeCell ref="B14:B15"/>
    <mergeCell ref="C14:C15"/>
    <mergeCell ref="D14:D15"/>
    <mergeCell ref="E14:E15"/>
    <mergeCell ref="F14:F15"/>
    <mergeCell ref="G14:G15"/>
    <mergeCell ref="H14:H15"/>
    <mergeCell ref="I14:I15"/>
    <mergeCell ref="L16:L17"/>
    <mergeCell ref="J14:J15"/>
    <mergeCell ref="L14:L15"/>
    <mergeCell ref="M16:M17"/>
    <mergeCell ref="A18:A19"/>
    <mergeCell ref="B18:B19"/>
    <mergeCell ref="C18:C19"/>
    <mergeCell ref="D18:D19"/>
    <mergeCell ref="E18:E19"/>
    <mergeCell ref="F18:F19"/>
    <mergeCell ref="G18:G19"/>
    <mergeCell ref="H18:H19"/>
    <mergeCell ref="I18:I19"/>
    <mergeCell ref="J18:J19"/>
    <mergeCell ref="L18:L19"/>
    <mergeCell ref="M18:M19"/>
    <mergeCell ref="F16:F17"/>
    <mergeCell ref="G16:G17"/>
    <mergeCell ref="H16:H17"/>
    <mergeCell ref="I16:I17"/>
    <mergeCell ref="J16:J17"/>
    <mergeCell ref="A16:A17"/>
    <mergeCell ref="B16:B17"/>
    <mergeCell ref="C16:C17"/>
    <mergeCell ref="D16:D17"/>
    <mergeCell ref="E16:E17"/>
    <mergeCell ref="L20:L21"/>
    <mergeCell ref="M20:M21"/>
    <mergeCell ref="A22:A23"/>
    <mergeCell ref="B22:B23"/>
    <mergeCell ref="C22:C23"/>
    <mergeCell ref="D22:D23"/>
    <mergeCell ref="E22:E23"/>
    <mergeCell ref="F22:F23"/>
    <mergeCell ref="G22:G23"/>
    <mergeCell ref="H22:H23"/>
    <mergeCell ref="I22:I23"/>
    <mergeCell ref="J22:J23"/>
    <mergeCell ref="L22:L23"/>
    <mergeCell ref="M22:M23"/>
    <mergeCell ref="F20:F21"/>
    <mergeCell ref="G20:G21"/>
    <mergeCell ref="H20:H21"/>
    <mergeCell ref="I20:I21"/>
    <mergeCell ref="J20:J21"/>
    <mergeCell ref="A20:A21"/>
    <mergeCell ref="B20:B21"/>
    <mergeCell ref="C20:C21"/>
    <mergeCell ref="D20:D21"/>
    <mergeCell ref="E20:E21"/>
    <mergeCell ref="L24:L25"/>
    <mergeCell ref="E24:E25"/>
    <mergeCell ref="M24:M25"/>
    <mergeCell ref="A26:A27"/>
    <mergeCell ref="B26:B27"/>
    <mergeCell ref="C26:C27"/>
    <mergeCell ref="D26:D27"/>
    <mergeCell ref="E26:E27"/>
    <mergeCell ref="F26:F27"/>
    <mergeCell ref="G26:G27"/>
    <mergeCell ref="H26:H27"/>
    <mergeCell ref="I26:I27"/>
    <mergeCell ref="J26:J27"/>
    <mergeCell ref="L26:L27"/>
    <mergeCell ref="M26:M27"/>
    <mergeCell ref="F24:F25"/>
    <mergeCell ref="G24:G25"/>
    <mergeCell ref="H24:H25"/>
    <mergeCell ref="I24:I25"/>
    <mergeCell ref="J24:J25"/>
    <mergeCell ref="A24:A25"/>
    <mergeCell ref="B24:B25"/>
    <mergeCell ref="C24:C25"/>
    <mergeCell ref="D24:D25"/>
    <mergeCell ref="L28:L29"/>
    <mergeCell ref="M28:M29"/>
    <mergeCell ref="A30:A31"/>
    <mergeCell ref="B30:B31"/>
    <mergeCell ref="C30:C31"/>
    <mergeCell ref="D30:D31"/>
    <mergeCell ref="E30:E31"/>
    <mergeCell ref="F30:F31"/>
    <mergeCell ref="G30:G31"/>
    <mergeCell ref="H30:H31"/>
    <mergeCell ref="I30:I31"/>
    <mergeCell ref="J30:J31"/>
    <mergeCell ref="L30:L31"/>
    <mergeCell ref="M30:M31"/>
    <mergeCell ref="F28:F29"/>
    <mergeCell ref="G28:G29"/>
    <mergeCell ref="H28:H29"/>
    <mergeCell ref="I28:I29"/>
    <mergeCell ref="J28:J29"/>
    <mergeCell ref="A28:A29"/>
    <mergeCell ref="B28:B29"/>
    <mergeCell ref="C28:C29"/>
    <mergeCell ref="D28:D29"/>
    <mergeCell ref="E28:E29"/>
    <mergeCell ref="L32:L33"/>
    <mergeCell ref="M32:M33"/>
    <mergeCell ref="A34:A35"/>
    <mergeCell ref="B34:B35"/>
    <mergeCell ref="C34:C35"/>
    <mergeCell ref="D34:D35"/>
    <mergeCell ref="E34:E35"/>
    <mergeCell ref="F34:F35"/>
    <mergeCell ref="G34:G35"/>
    <mergeCell ref="H34:H35"/>
    <mergeCell ref="I34:I35"/>
    <mergeCell ref="J34:J35"/>
    <mergeCell ref="L34:L35"/>
    <mergeCell ref="M34:M35"/>
    <mergeCell ref="F32:F33"/>
    <mergeCell ref="G32:G33"/>
    <mergeCell ref="H32:H33"/>
    <mergeCell ref="I32:I33"/>
    <mergeCell ref="J32:J33"/>
    <mergeCell ref="A32:A33"/>
    <mergeCell ref="B32:B33"/>
    <mergeCell ref="C32:C33"/>
    <mergeCell ref="D32:D33"/>
    <mergeCell ref="E32:E33"/>
    <mergeCell ref="L36:L37"/>
    <mergeCell ref="M36:M37"/>
    <mergeCell ref="A38:A39"/>
    <mergeCell ref="B38:B39"/>
    <mergeCell ref="C38:C39"/>
    <mergeCell ref="D38:D39"/>
    <mergeCell ref="E38:E39"/>
    <mergeCell ref="F38:F39"/>
    <mergeCell ref="G38:G39"/>
    <mergeCell ref="H38:H39"/>
    <mergeCell ref="I38:I39"/>
    <mergeCell ref="J38:J39"/>
    <mergeCell ref="L38:L39"/>
    <mergeCell ref="M38:M39"/>
    <mergeCell ref="F36:F37"/>
    <mergeCell ref="G36:G37"/>
    <mergeCell ref="H36:H37"/>
    <mergeCell ref="I36:I37"/>
    <mergeCell ref="J36:J37"/>
    <mergeCell ref="A36:A37"/>
    <mergeCell ref="B36:B37"/>
    <mergeCell ref="C36:C37"/>
    <mergeCell ref="D36:D37"/>
    <mergeCell ref="E36:E37"/>
    <mergeCell ref="L40:L41"/>
    <mergeCell ref="M40:M41"/>
    <mergeCell ref="A42:A43"/>
    <mergeCell ref="B42:B43"/>
    <mergeCell ref="C42:C43"/>
    <mergeCell ref="D42:D43"/>
    <mergeCell ref="E42:E43"/>
    <mergeCell ref="F42:F43"/>
    <mergeCell ref="G42:G43"/>
    <mergeCell ref="H42:H43"/>
    <mergeCell ref="I42:I43"/>
    <mergeCell ref="J42:J43"/>
    <mergeCell ref="L42:L43"/>
    <mergeCell ref="M42:M43"/>
    <mergeCell ref="F40:F41"/>
    <mergeCell ref="G40:G41"/>
    <mergeCell ref="H40:H41"/>
    <mergeCell ref="I40:I41"/>
    <mergeCell ref="J40:J41"/>
    <mergeCell ref="A40:A41"/>
    <mergeCell ref="B40:B41"/>
    <mergeCell ref="C40:C41"/>
    <mergeCell ref="D40:D41"/>
    <mergeCell ref="E40:E41"/>
    <mergeCell ref="L44:L45"/>
    <mergeCell ref="E44:E45"/>
    <mergeCell ref="M44:M45"/>
    <mergeCell ref="A46:A47"/>
    <mergeCell ref="B46:B47"/>
    <mergeCell ref="C46:C47"/>
    <mergeCell ref="D46:D47"/>
    <mergeCell ref="E46:E47"/>
    <mergeCell ref="F46:F47"/>
    <mergeCell ref="G46:G47"/>
    <mergeCell ref="H46:H47"/>
    <mergeCell ref="I46:I47"/>
    <mergeCell ref="J46:J47"/>
    <mergeCell ref="L46:L47"/>
    <mergeCell ref="M46:M47"/>
    <mergeCell ref="F44:F45"/>
    <mergeCell ref="G44:G45"/>
    <mergeCell ref="H44:H45"/>
    <mergeCell ref="I44:I45"/>
    <mergeCell ref="J44:J45"/>
    <mergeCell ref="A44:A45"/>
    <mergeCell ref="B44:B45"/>
    <mergeCell ref="C44:C45"/>
    <mergeCell ref="D44:D45"/>
    <mergeCell ref="L48:L49"/>
    <mergeCell ref="M48:M49"/>
    <mergeCell ref="A50:A51"/>
    <mergeCell ref="B50:B51"/>
    <mergeCell ref="C50:C51"/>
    <mergeCell ref="D50:D51"/>
    <mergeCell ref="E50:E51"/>
    <mergeCell ref="F50:F51"/>
    <mergeCell ref="G50:G51"/>
    <mergeCell ref="H50:H51"/>
    <mergeCell ref="I50:I51"/>
    <mergeCell ref="J50:J51"/>
    <mergeCell ref="L50:L51"/>
    <mergeCell ref="M50:M51"/>
    <mergeCell ref="F48:F49"/>
    <mergeCell ref="G48:G49"/>
    <mergeCell ref="H48:H49"/>
    <mergeCell ref="I48:I49"/>
    <mergeCell ref="J48:J49"/>
    <mergeCell ref="A48:A49"/>
    <mergeCell ref="B48:B49"/>
    <mergeCell ref="C48:C49"/>
    <mergeCell ref="D48:D49"/>
    <mergeCell ref="E48:E49"/>
    <mergeCell ref="L52:L53"/>
    <mergeCell ref="M52:M53"/>
    <mergeCell ref="A54:A55"/>
    <mergeCell ref="B54:B55"/>
    <mergeCell ref="C54:C55"/>
    <mergeCell ref="D54:D55"/>
    <mergeCell ref="E54:E55"/>
    <mergeCell ref="F54:F55"/>
    <mergeCell ref="G54:G55"/>
    <mergeCell ref="H54:H55"/>
    <mergeCell ref="I54:I55"/>
    <mergeCell ref="J54:J55"/>
    <mergeCell ref="L54:L55"/>
    <mergeCell ref="M54:M55"/>
    <mergeCell ref="F52:F53"/>
    <mergeCell ref="G52:G53"/>
    <mergeCell ref="H52:H53"/>
    <mergeCell ref="I52:I53"/>
    <mergeCell ref="J52:J53"/>
    <mergeCell ref="A52:A53"/>
    <mergeCell ref="B52:B53"/>
    <mergeCell ref="C52:C53"/>
    <mergeCell ref="D52:D53"/>
    <mergeCell ref="E52:E53"/>
    <mergeCell ref="L56:L57"/>
    <mergeCell ref="M56:M57"/>
    <mergeCell ref="A58:A59"/>
    <mergeCell ref="B58:B59"/>
    <mergeCell ref="C58:C59"/>
    <mergeCell ref="D58:D59"/>
    <mergeCell ref="E58:E59"/>
    <mergeCell ref="F58:F59"/>
    <mergeCell ref="G58:G59"/>
    <mergeCell ref="H58:H59"/>
    <mergeCell ref="I58:I59"/>
    <mergeCell ref="J58:J59"/>
    <mergeCell ref="L58:L59"/>
    <mergeCell ref="M58:M59"/>
    <mergeCell ref="F56:F57"/>
    <mergeCell ref="G56:G57"/>
    <mergeCell ref="H56:H57"/>
    <mergeCell ref="I56:I57"/>
    <mergeCell ref="J56:J57"/>
    <mergeCell ref="A56:A57"/>
    <mergeCell ref="B56:B57"/>
    <mergeCell ref="C56:C57"/>
    <mergeCell ref="D56:D57"/>
    <mergeCell ref="E56:E57"/>
    <mergeCell ref="L60:L61"/>
    <mergeCell ref="M60:M61"/>
    <mergeCell ref="A62:A63"/>
    <mergeCell ref="B62:B63"/>
    <mergeCell ref="C62:C63"/>
    <mergeCell ref="D62:D63"/>
    <mergeCell ref="E62:E63"/>
    <mergeCell ref="F62:F63"/>
    <mergeCell ref="G62:G63"/>
    <mergeCell ref="H62:H63"/>
    <mergeCell ref="I62:I63"/>
    <mergeCell ref="J62:J63"/>
    <mergeCell ref="L62:L63"/>
    <mergeCell ref="M62:M63"/>
    <mergeCell ref="F60:F61"/>
    <mergeCell ref="G60:G61"/>
    <mergeCell ref="H60:H61"/>
    <mergeCell ref="I60:I61"/>
    <mergeCell ref="J60:J61"/>
    <mergeCell ref="A60:A61"/>
    <mergeCell ref="B60:B61"/>
    <mergeCell ref="C60:C61"/>
    <mergeCell ref="D60:D61"/>
    <mergeCell ref="E60:E61"/>
    <mergeCell ref="L64:L65"/>
    <mergeCell ref="M64:M65"/>
    <mergeCell ref="F64:F65"/>
    <mergeCell ref="G64:G65"/>
    <mergeCell ref="H64:H65"/>
    <mergeCell ref="I64:I65"/>
    <mergeCell ref="J64:J65"/>
    <mergeCell ref="A64:A65"/>
    <mergeCell ref="B64:B65"/>
    <mergeCell ref="C64:C65"/>
    <mergeCell ref="D64:D65"/>
    <mergeCell ref="E64:E65"/>
    <mergeCell ref="K6:K7"/>
    <mergeCell ref="K8:K9"/>
    <mergeCell ref="K10:K11"/>
    <mergeCell ref="K12:K13"/>
    <mergeCell ref="K14:K15"/>
    <mergeCell ref="K16:K17"/>
    <mergeCell ref="K18:K19"/>
    <mergeCell ref="K20:K21"/>
    <mergeCell ref="K22:K23"/>
    <mergeCell ref="K24:K25"/>
    <mergeCell ref="K26:K27"/>
    <mergeCell ref="K28:K29"/>
    <mergeCell ref="K30:K31"/>
    <mergeCell ref="K32:K33"/>
    <mergeCell ref="K34:K35"/>
    <mergeCell ref="K36:K37"/>
    <mergeCell ref="K38:K39"/>
    <mergeCell ref="K40:K41"/>
    <mergeCell ref="K60:K61"/>
    <mergeCell ref="K62:K63"/>
    <mergeCell ref="K64:K65"/>
    <mergeCell ref="K42:K43"/>
    <mergeCell ref="K44:K45"/>
    <mergeCell ref="K46:K47"/>
    <mergeCell ref="K48:K49"/>
    <mergeCell ref="K50:K51"/>
    <mergeCell ref="K52:K53"/>
    <mergeCell ref="K54:K55"/>
    <mergeCell ref="K56:K57"/>
    <mergeCell ref="K58:K59"/>
  </mergeCells>
  <conditionalFormatting sqref="O6:R7">
    <cfRule type="cellIs" dxfId="158" priority="153" operator="equal">
      <formula>"?"</formula>
    </cfRule>
    <cfRule type="cellIs" dxfId="157" priority="154" operator="equal">
      <formula>"-"</formula>
    </cfRule>
    <cfRule type="cellIs" dxfId="156" priority="155" operator="equal">
      <formula>"+"</formula>
    </cfRule>
  </conditionalFormatting>
  <conditionalFormatting sqref="O10:R11">
    <cfRule type="cellIs" dxfId="155" priority="147" operator="equal">
      <formula>"?"</formula>
    </cfRule>
    <cfRule type="cellIs" dxfId="154" priority="148" operator="equal">
      <formula>"-"</formula>
    </cfRule>
    <cfRule type="cellIs" dxfId="153" priority="149" operator="equal">
      <formula>"+"</formula>
    </cfRule>
  </conditionalFormatting>
  <conditionalFormatting sqref="O12:R13">
    <cfRule type="cellIs" dxfId="152" priority="144" operator="equal">
      <formula>"?"</formula>
    </cfRule>
    <cfRule type="cellIs" dxfId="151" priority="145" operator="equal">
      <formula>"-"</formula>
    </cfRule>
    <cfRule type="cellIs" dxfId="150" priority="146" operator="equal">
      <formula>"+"</formula>
    </cfRule>
  </conditionalFormatting>
  <conditionalFormatting sqref="O14:R15">
    <cfRule type="cellIs" dxfId="149" priority="141" operator="equal">
      <formula>"?"</formula>
    </cfRule>
    <cfRule type="cellIs" dxfId="148" priority="142" operator="equal">
      <formula>"-"</formula>
    </cfRule>
    <cfRule type="cellIs" dxfId="147" priority="143" operator="equal">
      <formula>"+"</formula>
    </cfRule>
  </conditionalFormatting>
  <conditionalFormatting sqref="O16:R17">
    <cfRule type="cellIs" dxfId="146" priority="138" operator="equal">
      <formula>"?"</formula>
    </cfRule>
    <cfRule type="cellIs" dxfId="145" priority="139" operator="equal">
      <formula>"-"</formula>
    </cfRule>
    <cfRule type="cellIs" dxfId="144" priority="140" operator="equal">
      <formula>"+"</formula>
    </cfRule>
  </conditionalFormatting>
  <conditionalFormatting sqref="O18:R19">
    <cfRule type="cellIs" dxfId="143" priority="135" operator="equal">
      <formula>"?"</formula>
    </cfRule>
    <cfRule type="cellIs" dxfId="142" priority="136" operator="equal">
      <formula>"-"</formula>
    </cfRule>
    <cfRule type="cellIs" dxfId="141" priority="137" operator="equal">
      <formula>"+"</formula>
    </cfRule>
  </conditionalFormatting>
  <conditionalFormatting sqref="O20:R21">
    <cfRule type="cellIs" dxfId="140" priority="132" operator="equal">
      <formula>"?"</formula>
    </cfRule>
    <cfRule type="cellIs" dxfId="139" priority="133" operator="equal">
      <formula>"-"</formula>
    </cfRule>
    <cfRule type="cellIs" dxfId="138" priority="134" operator="equal">
      <formula>"+"</formula>
    </cfRule>
  </conditionalFormatting>
  <conditionalFormatting sqref="O22:R23">
    <cfRule type="cellIs" dxfId="137" priority="129" operator="equal">
      <formula>"?"</formula>
    </cfRule>
    <cfRule type="cellIs" dxfId="136" priority="130" operator="equal">
      <formula>"-"</formula>
    </cfRule>
    <cfRule type="cellIs" dxfId="135" priority="131" operator="equal">
      <formula>"+"</formula>
    </cfRule>
  </conditionalFormatting>
  <conditionalFormatting sqref="O24:R25">
    <cfRule type="cellIs" dxfId="134" priority="126" operator="equal">
      <formula>"?"</formula>
    </cfRule>
    <cfRule type="cellIs" dxfId="133" priority="127" operator="equal">
      <formula>"-"</formula>
    </cfRule>
    <cfRule type="cellIs" dxfId="132" priority="128" operator="equal">
      <formula>"+"</formula>
    </cfRule>
  </conditionalFormatting>
  <conditionalFormatting sqref="O26:R27">
    <cfRule type="cellIs" dxfId="131" priority="123" operator="equal">
      <formula>"?"</formula>
    </cfRule>
    <cfRule type="cellIs" dxfId="130" priority="124" operator="equal">
      <formula>"-"</formula>
    </cfRule>
    <cfRule type="cellIs" dxfId="129" priority="125" operator="equal">
      <formula>"+"</formula>
    </cfRule>
  </conditionalFormatting>
  <conditionalFormatting sqref="O28:R29">
    <cfRule type="cellIs" dxfId="128" priority="120" operator="equal">
      <formula>"?"</formula>
    </cfRule>
    <cfRule type="cellIs" dxfId="127" priority="121" operator="equal">
      <formula>"-"</formula>
    </cfRule>
    <cfRule type="cellIs" dxfId="126" priority="122" operator="equal">
      <formula>"+"</formula>
    </cfRule>
  </conditionalFormatting>
  <conditionalFormatting sqref="O30:R31">
    <cfRule type="cellIs" dxfId="125" priority="117" operator="equal">
      <formula>"?"</formula>
    </cfRule>
    <cfRule type="cellIs" dxfId="124" priority="118" operator="equal">
      <formula>"-"</formula>
    </cfRule>
    <cfRule type="cellIs" dxfId="123" priority="119" operator="equal">
      <formula>"+"</formula>
    </cfRule>
  </conditionalFormatting>
  <conditionalFormatting sqref="O32:R33">
    <cfRule type="cellIs" dxfId="122" priority="114" operator="equal">
      <formula>"?"</formula>
    </cfRule>
    <cfRule type="cellIs" dxfId="121" priority="115" operator="equal">
      <formula>"-"</formula>
    </cfRule>
    <cfRule type="cellIs" dxfId="120" priority="116" operator="equal">
      <formula>"+"</formula>
    </cfRule>
  </conditionalFormatting>
  <conditionalFormatting sqref="O34:R35">
    <cfRule type="cellIs" dxfId="119" priority="111" operator="equal">
      <formula>"?"</formula>
    </cfRule>
    <cfRule type="cellIs" dxfId="118" priority="112" operator="equal">
      <formula>"-"</formula>
    </cfRule>
    <cfRule type="cellIs" dxfId="117" priority="113" operator="equal">
      <formula>"+"</formula>
    </cfRule>
  </conditionalFormatting>
  <conditionalFormatting sqref="O36:R37">
    <cfRule type="cellIs" dxfId="116" priority="108" operator="equal">
      <formula>"?"</formula>
    </cfRule>
    <cfRule type="cellIs" dxfId="115" priority="109" operator="equal">
      <formula>"-"</formula>
    </cfRule>
    <cfRule type="cellIs" dxfId="114" priority="110" operator="equal">
      <formula>"+"</formula>
    </cfRule>
  </conditionalFormatting>
  <conditionalFormatting sqref="O38:R39">
    <cfRule type="cellIs" dxfId="113" priority="105" operator="equal">
      <formula>"?"</formula>
    </cfRule>
    <cfRule type="cellIs" dxfId="112" priority="106" operator="equal">
      <formula>"-"</formula>
    </cfRule>
    <cfRule type="cellIs" dxfId="111" priority="107" operator="equal">
      <formula>"+"</formula>
    </cfRule>
  </conditionalFormatting>
  <conditionalFormatting sqref="O40:R41">
    <cfRule type="cellIs" dxfId="110" priority="102" operator="equal">
      <formula>"?"</formula>
    </cfRule>
    <cfRule type="cellIs" dxfId="109" priority="103" operator="equal">
      <formula>"-"</formula>
    </cfRule>
    <cfRule type="cellIs" dxfId="108" priority="104" operator="equal">
      <formula>"+"</formula>
    </cfRule>
  </conditionalFormatting>
  <conditionalFormatting sqref="O42:R43">
    <cfRule type="cellIs" dxfId="107" priority="99" operator="equal">
      <formula>"?"</formula>
    </cfRule>
    <cfRule type="cellIs" dxfId="106" priority="100" operator="equal">
      <formula>"-"</formula>
    </cfRule>
    <cfRule type="cellIs" dxfId="105" priority="101" operator="equal">
      <formula>"+"</formula>
    </cfRule>
  </conditionalFormatting>
  <conditionalFormatting sqref="O44:R45">
    <cfRule type="cellIs" dxfId="104" priority="96" operator="equal">
      <formula>"?"</formula>
    </cfRule>
    <cfRule type="cellIs" dxfId="103" priority="97" operator="equal">
      <formula>"-"</formula>
    </cfRule>
    <cfRule type="cellIs" dxfId="102" priority="98" operator="equal">
      <formula>"+"</formula>
    </cfRule>
  </conditionalFormatting>
  <conditionalFormatting sqref="O46:R47">
    <cfRule type="cellIs" dxfId="101" priority="93" operator="equal">
      <formula>"?"</formula>
    </cfRule>
    <cfRule type="cellIs" dxfId="100" priority="94" operator="equal">
      <formula>"-"</formula>
    </cfRule>
    <cfRule type="cellIs" dxfId="99" priority="95" operator="equal">
      <formula>"+"</formula>
    </cfRule>
  </conditionalFormatting>
  <conditionalFormatting sqref="O48:R49">
    <cfRule type="cellIs" dxfId="98" priority="90" operator="equal">
      <formula>"?"</formula>
    </cfRule>
    <cfRule type="cellIs" dxfId="97" priority="91" operator="equal">
      <formula>"-"</formula>
    </cfRule>
    <cfRule type="cellIs" dxfId="96" priority="92" operator="equal">
      <formula>"+"</formula>
    </cfRule>
  </conditionalFormatting>
  <conditionalFormatting sqref="O50:R51">
    <cfRule type="cellIs" dxfId="95" priority="87" operator="equal">
      <formula>"?"</formula>
    </cfRule>
    <cfRule type="cellIs" dxfId="94" priority="88" operator="equal">
      <formula>"-"</formula>
    </cfRule>
    <cfRule type="cellIs" dxfId="93" priority="89" operator="equal">
      <formula>"+"</formula>
    </cfRule>
  </conditionalFormatting>
  <conditionalFormatting sqref="O52:R53">
    <cfRule type="cellIs" dxfId="92" priority="84" operator="equal">
      <formula>"?"</formula>
    </cfRule>
    <cfRule type="cellIs" dxfId="91" priority="85" operator="equal">
      <formula>"-"</formula>
    </cfRule>
    <cfRule type="cellIs" dxfId="90" priority="86" operator="equal">
      <formula>"+"</formula>
    </cfRule>
  </conditionalFormatting>
  <conditionalFormatting sqref="O54:R55">
    <cfRule type="cellIs" dxfId="89" priority="81" operator="equal">
      <formula>"?"</formula>
    </cfRule>
    <cfRule type="cellIs" dxfId="88" priority="82" operator="equal">
      <formula>"-"</formula>
    </cfRule>
    <cfRule type="cellIs" dxfId="87" priority="83" operator="equal">
      <formula>"+"</formula>
    </cfRule>
  </conditionalFormatting>
  <conditionalFormatting sqref="O56:R57">
    <cfRule type="cellIs" dxfId="86" priority="78" operator="equal">
      <formula>"?"</formula>
    </cfRule>
    <cfRule type="cellIs" dxfId="85" priority="79" operator="equal">
      <formula>"-"</formula>
    </cfRule>
    <cfRule type="cellIs" dxfId="84" priority="80" operator="equal">
      <formula>"+"</formula>
    </cfRule>
  </conditionalFormatting>
  <conditionalFormatting sqref="O58:R59">
    <cfRule type="cellIs" dxfId="83" priority="75" operator="equal">
      <formula>"?"</formula>
    </cfRule>
    <cfRule type="cellIs" dxfId="82" priority="76" operator="equal">
      <formula>"-"</formula>
    </cfRule>
    <cfRule type="cellIs" dxfId="81" priority="77" operator="equal">
      <formula>"+"</formula>
    </cfRule>
  </conditionalFormatting>
  <conditionalFormatting sqref="O60:R61">
    <cfRule type="cellIs" dxfId="80" priority="72" operator="equal">
      <formula>"?"</formula>
    </cfRule>
    <cfRule type="cellIs" dxfId="79" priority="73" operator="equal">
      <formula>"-"</formula>
    </cfRule>
    <cfRule type="cellIs" dxfId="78" priority="74" operator="equal">
      <formula>"+"</formula>
    </cfRule>
  </conditionalFormatting>
  <conditionalFormatting sqref="O62:R63">
    <cfRule type="cellIs" dxfId="77" priority="69" operator="equal">
      <formula>"?"</formula>
    </cfRule>
    <cfRule type="cellIs" dxfId="76" priority="70" operator="equal">
      <formula>"-"</formula>
    </cfRule>
    <cfRule type="cellIs" dxfId="75" priority="71" operator="equal">
      <formula>"+"</formula>
    </cfRule>
  </conditionalFormatting>
  <conditionalFormatting sqref="O64:R65">
    <cfRule type="cellIs" dxfId="74" priority="66" operator="equal">
      <formula>"?"</formula>
    </cfRule>
    <cfRule type="cellIs" dxfId="73" priority="67" operator="equal">
      <formula>"-"</formula>
    </cfRule>
    <cfRule type="cellIs" dxfId="72" priority="68" operator="equal">
      <formula>"+"</formula>
    </cfRule>
  </conditionalFormatting>
  <conditionalFormatting sqref="O8:R9">
    <cfRule type="cellIs" dxfId="71" priority="63" operator="equal">
      <formula>"?"</formula>
    </cfRule>
    <cfRule type="cellIs" dxfId="70" priority="64" operator="equal">
      <formula>"-"</formula>
    </cfRule>
    <cfRule type="cellIs" dxfId="69" priority="65" operator="equal">
      <formula>"+"</formula>
    </cfRule>
  </conditionalFormatting>
  <conditionalFormatting sqref="B6:J65 L6:R65">
    <cfRule type="expression" dxfId="68" priority="32">
      <formula>B6=0</formula>
    </cfRule>
  </conditionalFormatting>
  <conditionalFormatting sqref="K6 K8 K10 K12 K14 K16 K18 K20 K22 K24 K26 K28 K30 K32 K34 K36 K38 K40 K42 K44 K46 K48 K50 K52 K54 K56 K58 K60 K62 K64">
    <cfRule type="expression" dxfId="67" priority="1">
      <formula>K6=0</formula>
    </cfRule>
  </conditionalFormatting>
  <pageMargins left="0.7" right="0.7" top="0.75" bottom="0.75" header="0.3" footer="0.3"/>
  <pageSetup paperSize="9" orientation="portrait" horizontalDpi="4294967295" verticalDpi="4294967295" r:id="rId1"/>
  <ignoredErrors>
    <ignoredError sqref="R8 R7 R10 R9 R12 R11 R14 R13 R16 R15 R18 R17 R20 R19 R22 R21 R24 R23 R26 R25 R28 R27 R30 R29 R32 R31 R34 R33 R36 R35 R38 R37 R40 R39 R42 R41 R44 R43 R46 R45 R48 R47 R50 R49 R52 R51 R54 R53 R58 R55 R56 R57 R60 R59 R62 R61 O64:R64 R63 R65 O62:Q62 O60:Q60 P56:Q56 O58:Q58 O54:Q54 O52:Q52 O50:Q50 O48:Q48 O46:Q46 O44:Q44 O42:Q42 O40:Q40 O38:Q38 O36:Q36 O34:Q34 O32:Q32 O30:Q30 O28:Q28 O26:Q26 O24:Q24 O22:Q22 O20:Q20 O18:Q18 O16:Q16 O14:Q14 O12:Q12 O9:Q9 O10:Q10 O8:Q8 O11:Q11 O13:Q13 O15:Q15 O17:Q17 O19:Q19 O21:Q21 O23:Q23 O25:Q25 O27:Q27 O29:Q29 O31:Q31 O33:Q33 O35:Q35 O37:Q37 O39:Q39 O41:Q41 O43:Q43 O45:Q45 O47:Q47 O49:Q49 O51:Q51 O53:Q53 O55:Q55 O59:Q59 O57:Q57 O56 O61:Q61 O63:Q63 O7 P7:Q7"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62" id="{551CD82E-C30C-48E0-B2D6-F9F3BC46908E}">
            <xm:f>SUMMARY!$B$7=FALSE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B6:J7 L6:R7</xm:sqref>
        </x14:conditionalFormatting>
        <x14:conditionalFormatting xmlns:xm="http://schemas.microsoft.com/office/excel/2006/main">
          <x14:cfRule type="expression" priority="61" id="{A6FFF1B6-3A88-45B9-91C3-80131FAED8D2}">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B8:J9 L8:R9</xm:sqref>
        </x14:conditionalFormatting>
        <x14:conditionalFormatting xmlns:xm="http://schemas.microsoft.com/office/excel/2006/main">
          <x14:cfRule type="expression" priority="60" id="{BA2E9257-AFF9-4BF2-8353-9E752026B06C}">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B10:J11 L10:R11</xm:sqref>
        </x14:conditionalFormatting>
        <x14:conditionalFormatting xmlns:xm="http://schemas.microsoft.com/office/excel/2006/main">
          <x14:cfRule type="expression" priority="59" id="{5BE3E54A-EA1F-4AB7-9310-4EFFADEC901C}">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B12:J13 L12:R13</xm:sqref>
        </x14:conditionalFormatting>
        <x14:conditionalFormatting xmlns:xm="http://schemas.microsoft.com/office/excel/2006/main">
          <x14:cfRule type="expression" priority="58" id="{C5837784-C308-4556-9C31-67FDC1BBCD44}">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B14:J15 L14:R15</xm:sqref>
        </x14:conditionalFormatting>
        <x14:conditionalFormatting xmlns:xm="http://schemas.microsoft.com/office/excel/2006/main">
          <x14:cfRule type="expression" priority="57" id="{E4FEB7A0-C1A3-408C-A1BE-30687C79E7ED}">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B16:J17 L16:R17</xm:sqref>
        </x14:conditionalFormatting>
        <x14:conditionalFormatting xmlns:xm="http://schemas.microsoft.com/office/excel/2006/main">
          <x14:cfRule type="expression" priority="56" id="{F116AB39-E584-47A4-B417-6874D521FDE2}">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B18:J19 L18:R19</xm:sqref>
        </x14:conditionalFormatting>
        <x14:conditionalFormatting xmlns:xm="http://schemas.microsoft.com/office/excel/2006/main">
          <x14:cfRule type="expression" priority="55" id="{A7219C54-1101-48E0-859C-278FC5C056DA}">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B20:J21 L20:R21</xm:sqref>
        </x14:conditionalFormatting>
        <x14:conditionalFormatting xmlns:xm="http://schemas.microsoft.com/office/excel/2006/main">
          <x14:cfRule type="expression" priority="54" id="{621F0277-7AE9-410C-A766-24D3A466EFA5}">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B22:J23 L22:R23</xm:sqref>
        </x14:conditionalFormatting>
        <x14:conditionalFormatting xmlns:xm="http://schemas.microsoft.com/office/excel/2006/main">
          <x14:cfRule type="expression" priority="53" id="{DBC494DA-3295-4419-B61A-62C6AAC2C458}">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B24:J25 L24:R25</xm:sqref>
        </x14:conditionalFormatting>
        <x14:conditionalFormatting xmlns:xm="http://schemas.microsoft.com/office/excel/2006/main">
          <x14:cfRule type="expression" priority="52" id="{924105D7-F566-4B71-8054-B20046177586}">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B26:J27 L26:R27</xm:sqref>
        </x14:conditionalFormatting>
        <x14:conditionalFormatting xmlns:xm="http://schemas.microsoft.com/office/excel/2006/main">
          <x14:cfRule type="expression" priority="51" id="{D52BFE82-C086-4872-B4C6-412DC4FADC96}">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B28:J29 L28:R29</xm:sqref>
        </x14:conditionalFormatting>
        <x14:conditionalFormatting xmlns:xm="http://schemas.microsoft.com/office/excel/2006/main">
          <x14:cfRule type="expression" priority="50" id="{0B74C900-488E-458D-83F8-34DF5FFC0125}">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B30:J31 L30:R31</xm:sqref>
        </x14:conditionalFormatting>
        <x14:conditionalFormatting xmlns:xm="http://schemas.microsoft.com/office/excel/2006/main">
          <x14:cfRule type="expression" priority="49" id="{1E78FADD-D3CB-4B01-8D1D-BE7CE7178BE4}">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A32:J33 L32:R33</xm:sqref>
        </x14:conditionalFormatting>
        <x14:conditionalFormatting xmlns:xm="http://schemas.microsoft.com/office/excel/2006/main">
          <x14:cfRule type="expression" priority="48" id="{39F864A1-FADE-4998-BF65-8083D3700920}">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B34:J35 L34:R35</xm:sqref>
        </x14:conditionalFormatting>
        <x14:conditionalFormatting xmlns:xm="http://schemas.microsoft.com/office/excel/2006/main">
          <x14:cfRule type="expression" priority="47" id="{00285603-D8CA-4DAE-8CE7-9462AC9E0E3A}">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A36:J37 L36:R37</xm:sqref>
        </x14:conditionalFormatting>
        <x14:conditionalFormatting xmlns:xm="http://schemas.microsoft.com/office/excel/2006/main">
          <x14:cfRule type="expression" priority="46" id="{EFF2F6D3-5CD5-43CB-B4E2-AD7418A2265C}">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B38:J39 L38:R39</xm:sqref>
        </x14:conditionalFormatting>
        <x14:conditionalFormatting xmlns:xm="http://schemas.microsoft.com/office/excel/2006/main">
          <x14:cfRule type="expression" priority="45" id="{7AAF4861-2524-4466-AD85-C2A437777EC8}">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B40:J41 L40:R41</xm:sqref>
        </x14:conditionalFormatting>
        <x14:conditionalFormatting xmlns:xm="http://schemas.microsoft.com/office/excel/2006/main">
          <x14:cfRule type="expression" priority="44" id="{E19EB272-35E1-47B5-A02A-AF7A05E5B79F}">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B42:J43 L42:R43</xm:sqref>
        </x14:conditionalFormatting>
        <x14:conditionalFormatting xmlns:xm="http://schemas.microsoft.com/office/excel/2006/main">
          <x14:cfRule type="expression" priority="43" id="{1B596EC3-A3DC-4E5E-8A63-3225104189D6}">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A44:J45 L44:R45</xm:sqref>
        </x14:conditionalFormatting>
        <x14:conditionalFormatting xmlns:xm="http://schemas.microsoft.com/office/excel/2006/main">
          <x14:cfRule type="expression" priority="42" id="{A4943B77-AAA9-41D4-9493-3DEA571DA06D}">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B46:J47 L46:R47</xm:sqref>
        </x14:conditionalFormatting>
        <x14:conditionalFormatting xmlns:xm="http://schemas.microsoft.com/office/excel/2006/main">
          <x14:cfRule type="expression" priority="41" id="{E63B3AE9-3B74-4A0F-AF9E-9B719ECB98FF}">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B48:J49 L48:R49</xm:sqref>
        </x14:conditionalFormatting>
        <x14:conditionalFormatting xmlns:xm="http://schemas.microsoft.com/office/excel/2006/main">
          <x14:cfRule type="expression" priority="40" id="{192D2CF9-FF26-4A6A-B83D-55F5E5706733}">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A50:J51 L50:R51</xm:sqref>
        </x14:conditionalFormatting>
        <x14:conditionalFormatting xmlns:xm="http://schemas.microsoft.com/office/excel/2006/main">
          <x14:cfRule type="expression" priority="39" id="{BBC26B5B-7F5C-428A-BE70-3DE6AB0B5C83}">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B52:J53 L52:R53</xm:sqref>
        </x14:conditionalFormatting>
        <x14:conditionalFormatting xmlns:xm="http://schemas.microsoft.com/office/excel/2006/main">
          <x14:cfRule type="expression" priority="38" id="{242AD475-2DB6-443A-89AB-8F3EC2F30BEB}">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B54:J55 L54:R55</xm:sqref>
        </x14:conditionalFormatting>
        <x14:conditionalFormatting xmlns:xm="http://schemas.microsoft.com/office/excel/2006/main">
          <x14:cfRule type="expression" priority="37" id="{EEA90EBD-F375-437B-97B3-49D6BC2ED052}">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B56:J57 L56:R57</xm:sqref>
        </x14:conditionalFormatting>
        <x14:conditionalFormatting xmlns:xm="http://schemas.microsoft.com/office/excel/2006/main">
          <x14:cfRule type="expression" priority="36" id="{DF451014-57C8-414E-A905-AB618168DCE9}">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A58:J59 L58:R59</xm:sqref>
        </x14:conditionalFormatting>
        <x14:conditionalFormatting xmlns:xm="http://schemas.microsoft.com/office/excel/2006/main">
          <x14:cfRule type="expression" priority="35" id="{398456BD-FD65-40FF-8654-000F6CB80839}">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B60:J61 L60:R61</xm:sqref>
        </x14:conditionalFormatting>
        <x14:conditionalFormatting xmlns:xm="http://schemas.microsoft.com/office/excel/2006/main">
          <x14:cfRule type="expression" priority="34" id="{F8BB44EE-496A-4F2E-9CD9-DDC3A3F306CC}">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B62:J63 L62:R63</xm:sqref>
        </x14:conditionalFormatting>
        <x14:conditionalFormatting xmlns:xm="http://schemas.microsoft.com/office/excel/2006/main">
          <x14:cfRule type="expression" priority="33" id="{23EC04AD-36A6-47D7-AE98-59114BA347B4}">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B64:J65 L64:R65</xm:sqref>
        </x14:conditionalFormatting>
        <x14:conditionalFormatting xmlns:xm="http://schemas.microsoft.com/office/excel/2006/main">
          <x14:cfRule type="expression" priority="31" id="{BDE945FE-0685-43CB-BF13-9986BFF063C8}">
            <xm:f>SUMMARY!$B$7=FALSE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K6</xm:sqref>
        </x14:conditionalFormatting>
        <x14:conditionalFormatting xmlns:xm="http://schemas.microsoft.com/office/excel/2006/main">
          <x14:cfRule type="expression" priority="30" id="{3571309D-9AB7-48FD-945B-9BA3134A8EB9}">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K8</xm:sqref>
        </x14:conditionalFormatting>
        <x14:conditionalFormatting xmlns:xm="http://schemas.microsoft.com/office/excel/2006/main">
          <x14:cfRule type="expression" priority="29" id="{F2AF7A27-2884-4CD4-915B-F4BD459997D4}">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K10</xm:sqref>
        </x14:conditionalFormatting>
        <x14:conditionalFormatting xmlns:xm="http://schemas.microsoft.com/office/excel/2006/main">
          <x14:cfRule type="expression" priority="28" id="{96A0A683-9BF3-4CBA-B267-FAD9268D29DF}">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K12</xm:sqref>
        </x14:conditionalFormatting>
        <x14:conditionalFormatting xmlns:xm="http://schemas.microsoft.com/office/excel/2006/main">
          <x14:cfRule type="expression" priority="27" id="{59EBC3D7-FE45-4F6C-A188-8D78A4982992}">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K14</xm:sqref>
        </x14:conditionalFormatting>
        <x14:conditionalFormatting xmlns:xm="http://schemas.microsoft.com/office/excel/2006/main">
          <x14:cfRule type="expression" priority="26" id="{3D18913E-155E-4880-9231-3DA78501D922}">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K16</xm:sqref>
        </x14:conditionalFormatting>
        <x14:conditionalFormatting xmlns:xm="http://schemas.microsoft.com/office/excel/2006/main">
          <x14:cfRule type="expression" priority="25" id="{112C1AB0-4C7C-4205-88A9-BFC5AA425E71}">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K18</xm:sqref>
        </x14:conditionalFormatting>
        <x14:conditionalFormatting xmlns:xm="http://schemas.microsoft.com/office/excel/2006/main">
          <x14:cfRule type="expression" priority="24" id="{83B7B916-2F96-4F80-9D92-5239534B6166}">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K20</xm:sqref>
        </x14:conditionalFormatting>
        <x14:conditionalFormatting xmlns:xm="http://schemas.microsoft.com/office/excel/2006/main">
          <x14:cfRule type="expression" priority="23" id="{CD54A1E3-A147-483B-856A-C944A35235C8}">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K22</xm:sqref>
        </x14:conditionalFormatting>
        <x14:conditionalFormatting xmlns:xm="http://schemas.microsoft.com/office/excel/2006/main">
          <x14:cfRule type="expression" priority="22" id="{42ADBCD1-5FFA-4DE8-AB76-FEDF52DDB636}">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K24</xm:sqref>
        </x14:conditionalFormatting>
        <x14:conditionalFormatting xmlns:xm="http://schemas.microsoft.com/office/excel/2006/main">
          <x14:cfRule type="expression" priority="21" id="{B96CE78C-F645-463B-A4B0-E8C078F8A6E8}">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K26</xm:sqref>
        </x14:conditionalFormatting>
        <x14:conditionalFormatting xmlns:xm="http://schemas.microsoft.com/office/excel/2006/main">
          <x14:cfRule type="expression" priority="20" id="{A91C6FB9-7D59-4055-BE5E-1C6EBF8127B0}">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K28</xm:sqref>
        </x14:conditionalFormatting>
        <x14:conditionalFormatting xmlns:xm="http://schemas.microsoft.com/office/excel/2006/main">
          <x14:cfRule type="expression" priority="19" id="{71713B8A-CF86-445E-9582-94CFF1BD113E}">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K30</xm:sqref>
        </x14:conditionalFormatting>
        <x14:conditionalFormatting xmlns:xm="http://schemas.microsoft.com/office/excel/2006/main">
          <x14:cfRule type="expression" priority="18" id="{4B268CB1-5EB0-4B11-8715-2A788E5C4A0D}">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K32</xm:sqref>
        </x14:conditionalFormatting>
        <x14:conditionalFormatting xmlns:xm="http://schemas.microsoft.com/office/excel/2006/main">
          <x14:cfRule type="expression" priority="17" id="{45B2534B-791A-4462-8998-D069E9026446}">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K34</xm:sqref>
        </x14:conditionalFormatting>
        <x14:conditionalFormatting xmlns:xm="http://schemas.microsoft.com/office/excel/2006/main">
          <x14:cfRule type="expression" priority="16" id="{B2AA59F7-8EBC-4F4B-9196-B538F577284B}">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K36</xm:sqref>
        </x14:conditionalFormatting>
        <x14:conditionalFormatting xmlns:xm="http://schemas.microsoft.com/office/excel/2006/main">
          <x14:cfRule type="expression" priority="15" id="{B0FC24F9-1357-4913-B8CF-4BE6FABAEEC0}">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K38</xm:sqref>
        </x14:conditionalFormatting>
        <x14:conditionalFormatting xmlns:xm="http://schemas.microsoft.com/office/excel/2006/main">
          <x14:cfRule type="expression" priority="14" id="{3DEB1B1E-2F7C-4197-80DE-D99856DC933D}">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K40</xm:sqref>
        </x14:conditionalFormatting>
        <x14:conditionalFormatting xmlns:xm="http://schemas.microsoft.com/office/excel/2006/main">
          <x14:cfRule type="expression" priority="13" id="{89200968-B00C-4770-A6A5-B0BC6DC26418}">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K42</xm:sqref>
        </x14:conditionalFormatting>
        <x14:conditionalFormatting xmlns:xm="http://schemas.microsoft.com/office/excel/2006/main">
          <x14:cfRule type="expression" priority="12" id="{5792461F-40A2-421D-BA5D-E75ED1415BA5}">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K44</xm:sqref>
        </x14:conditionalFormatting>
        <x14:conditionalFormatting xmlns:xm="http://schemas.microsoft.com/office/excel/2006/main">
          <x14:cfRule type="expression" priority="11" id="{45BAFC42-3806-456B-8039-29FC878F3F1D}">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K46</xm:sqref>
        </x14:conditionalFormatting>
        <x14:conditionalFormatting xmlns:xm="http://schemas.microsoft.com/office/excel/2006/main">
          <x14:cfRule type="expression" priority="10" id="{1D536857-9E3E-49A1-807B-44BE17FAC923}">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K48</xm:sqref>
        </x14:conditionalFormatting>
        <x14:conditionalFormatting xmlns:xm="http://schemas.microsoft.com/office/excel/2006/main">
          <x14:cfRule type="expression" priority="9" id="{134AE406-497A-4DD3-93BF-5369D551ACE8}">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K50</xm:sqref>
        </x14:conditionalFormatting>
        <x14:conditionalFormatting xmlns:xm="http://schemas.microsoft.com/office/excel/2006/main">
          <x14:cfRule type="expression" priority="8" id="{D068DEE8-FB3E-4215-99EA-F5056E3DF96A}">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K52</xm:sqref>
        </x14:conditionalFormatting>
        <x14:conditionalFormatting xmlns:xm="http://schemas.microsoft.com/office/excel/2006/main">
          <x14:cfRule type="expression" priority="7" id="{CE55D5B4-DB9B-49D3-9F33-70A15BF5FD55}">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K54</xm:sqref>
        </x14:conditionalFormatting>
        <x14:conditionalFormatting xmlns:xm="http://schemas.microsoft.com/office/excel/2006/main">
          <x14:cfRule type="expression" priority="6" id="{A3E61BC0-963A-4810-8B5E-1FD21E3800FE}">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K56</xm:sqref>
        </x14:conditionalFormatting>
        <x14:conditionalFormatting xmlns:xm="http://schemas.microsoft.com/office/excel/2006/main">
          <x14:cfRule type="expression" priority="5" id="{D3814297-1EBD-44C3-9DEA-600776ADC0F7}">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K58</xm:sqref>
        </x14:conditionalFormatting>
        <x14:conditionalFormatting xmlns:xm="http://schemas.microsoft.com/office/excel/2006/main">
          <x14:cfRule type="expression" priority="4" id="{46919CB3-72B1-4287-AA7F-75686D539A11}">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K60</xm:sqref>
        </x14:conditionalFormatting>
        <x14:conditionalFormatting xmlns:xm="http://schemas.microsoft.com/office/excel/2006/main">
          <x14:cfRule type="expression" priority="3" id="{2558273C-8BB8-4F9B-96BA-05B574516D28}">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K62</xm:sqref>
        </x14:conditionalFormatting>
        <x14:conditionalFormatting xmlns:xm="http://schemas.microsoft.com/office/excel/2006/main">
          <x14:cfRule type="expression" priority="2" id="{E916D699-987A-493B-A01B-F465B71AAFB6}">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K64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366E7-ABF0-4C23-9FCF-25AF69297BAC}">
  <sheetPr codeName="Hoja8">
    <tabColor theme="9" tint="-0.499984740745262"/>
  </sheetPr>
  <dimension ref="A1:AH41"/>
  <sheetViews>
    <sheetView topLeftCell="B1" workbookViewId="0"/>
  </sheetViews>
  <sheetFormatPr baseColWidth="10" defaultColWidth="11.42578125" defaultRowHeight="15" x14ac:dyDescent="0.25"/>
  <cols>
    <col min="1" max="1" width="11.42578125" style="122" hidden="1" customWidth="1"/>
    <col min="2" max="2" width="25" style="122" customWidth="1"/>
    <col min="3" max="12" width="7.140625" style="122" customWidth="1"/>
    <col min="13" max="16384" width="11.42578125" style="122"/>
  </cols>
  <sheetData>
    <row r="1" spans="1:34" x14ac:dyDescent="0.25">
      <c r="K1" s="123"/>
    </row>
    <row r="2" spans="1:34" x14ac:dyDescent="0.25">
      <c r="K2" s="123"/>
    </row>
    <row r="3" spans="1:34" s="124" customFormat="1" x14ac:dyDescent="0.25">
      <c r="B3" s="387" t="s">
        <v>394</v>
      </c>
      <c r="C3" s="388"/>
      <c r="D3" s="388"/>
      <c r="E3" s="388"/>
      <c r="F3" s="388"/>
      <c r="G3" s="388"/>
      <c r="H3" s="388"/>
      <c r="I3" s="388"/>
      <c r="J3" s="388"/>
      <c r="K3" s="389"/>
      <c r="L3" s="126"/>
      <c r="M3" s="126"/>
      <c r="N3" s="126"/>
      <c r="O3" s="126"/>
      <c r="P3" s="126"/>
      <c r="Q3" s="126"/>
      <c r="R3" s="126"/>
      <c r="S3" s="126"/>
      <c r="T3" s="126"/>
      <c r="U3" s="126"/>
      <c r="V3" s="126"/>
      <c r="W3" s="126"/>
      <c r="X3" s="126"/>
      <c r="Y3" s="126"/>
      <c r="Z3" s="126"/>
      <c r="AA3" s="126"/>
      <c r="AB3" s="126"/>
      <c r="AC3" s="126"/>
      <c r="AD3" s="126"/>
      <c r="AE3" s="126"/>
      <c r="AF3" s="126"/>
      <c r="AG3" s="126"/>
      <c r="AH3" s="126"/>
    </row>
    <row r="4" spans="1:34" s="127" customFormat="1" ht="16.5" customHeight="1" x14ac:dyDescent="0.2">
      <c r="B4" s="384" t="s">
        <v>372</v>
      </c>
      <c r="C4" s="383" t="s">
        <v>395</v>
      </c>
      <c r="D4" s="383"/>
      <c r="E4" s="383"/>
      <c r="F4" s="384"/>
      <c r="G4" s="385" t="s">
        <v>302</v>
      </c>
      <c r="H4" s="383"/>
      <c r="I4" s="384"/>
      <c r="J4" s="381" t="s">
        <v>396</v>
      </c>
      <c r="K4" s="382"/>
      <c r="L4" s="126"/>
      <c r="M4" s="128"/>
      <c r="N4" s="126"/>
      <c r="O4" s="126"/>
      <c r="P4" s="126"/>
      <c r="Q4" s="126"/>
      <c r="R4" s="126"/>
      <c r="S4" s="126"/>
      <c r="T4" s="126"/>
      <c r="U4" s="126"/>
      <c r="V4" s="126"/>
      <c r="W4" s="126"/>
      <c r="X4" s="126"/>
      <c r="Y4" s="126"/>
      <c r="Z4" s="126"/>
      <c r="AA4" s="126"/>
      <c r="AB4" s="126"/>
      <c r="AC4" s="126"/>
      <c r="AD4" s="126"/>
      <c r="AE4" s="126"/>
      <c r="AF4" s="126"/>
      <c r="AG4" s="126"/>
      <c r="AH4" s="126"/>
    </row>
    <row r="5" spans="1:34" s="127" customFormat="1" ht="75" customHeight="1" x14ac:dyDescent="0.2">
      <c r="B5" s="386"/>
      <c r="C5" s="146" t="s">
        <v>397</v>
      </c>
      <c r="D5" s="146" t="s">
        <v>398</v>
      </c>
      <c r="E5" s="146" t="s">
        <v>399</v>
      </c>
      <c r="F5" s="147" t="s">
        <v>400</v>
      </c>
      <c r="G5" s="148" t="s">
        <v>397</v>
      </c>
      <c r="H5" s="146" t="s">
        <v>398</v>
      </c>
      <c r="I5" s="147" t="s">
        <v>399</v>
      </c>
      <c r="J5" s="149" t="s">
        <v>401</v>
      </c>
      <c r="K5" s="150" t="s">
        <v>402</v>
      </c>
      <c r="L5" s="128"/>
      <c r="M5" s="128"/>
      <c r="N5" s="126"/>
      <c r="O5" s="126"/>
      <c r="P5" s="126"/>
      <c r="Q5" s="126"/>
      <c r="R5" s="126"/>
      <c r="S5" s="126"/>
      <c r="T5" s="126"/>
      <c r="U5" s="126"/>
      <c r="V5" s="126"/>
      <c r="W5" s="126"/>
      <c r="X5" s="126"/>
      <c r="Y5" s="126"/>
      <c r="Z5" s="126"/>
      <c r="AA5" s="126"/>
      <c r="AB5" s="126"/>
      <c r="AC5" s="126"/>
      <c r="AD5" s="126"/>
      <c r="AE5" s="126"/>
      <c r="AF5" s="126"/>
      <c r="AG5" s="126"/>
      <c r="AH5" s="126"/>
    </row>
    <row r="6" spans="1:34" s="129" customFormat="1" ht="15" customHeight="1" x14ac:dyDescent="0.25">
      <c r="A6" s="129" t="str">
        <f>CHARMS!F$6</f>
        <v>Gaca, 2011</v>
      </c>
      <c r="B6" s="188" t="str">
        <f>HLOOKUP($A6,CHARMS!$A$6:$CQ$89,1,)</f>
        <v>Gaca, 2011</v>
      </c>
      <c r="C6" s="151" t="str">
        <f>_xlfn.IFNA(IF(HLOOKUP($A6,PROBAST!$A$6:$AE$77,11,)="Low RoB","+",IF(HLOOKUP($A6,PROBAST!$A$6:$AE$77,11,)="High RoB","-",IF(HLOOKUP($A6,PROBAST!$A$6:$AE$77,11,)="Unclear","?",""))),"")</f>
        <v>-</v>
      </c>
      <c r="D6" s="152" t="str">
        <f>_xlfn.IFNA(IF(HLOOKUP($A6,PROBAST!$A$6:$AE$77,25,)="Low RoB","+",IF(HLOOKUP($A6,PROBAST!$A$6:$AE$77,25,)="High RoB","-",IF(HLOOKUP($A6,PROBAST!$A$6:$AE$77,25,)="Unclear","?",""))),"")</f>
        <v>+</v>
      </c>
      <c r="E6" s="152" t="str">
        <f>_xlfn.IFNA(IF(HLOOKUP($A6,PROBAST!$A$6:$AE$77,39,)="Low RoB","+",IF(HLOOKUP($A6,PROBAST!$A$6:$AE$77,39,)="High RoB","-",IF(HLOOKUP($A6,PROBAST!$A$6:$AE$77,39,)="Unclear","?",""))),"")</f>
        <v>+</v>
      </c>
      <c r="F6" s="153" t="str">
        <f>_xlfn.IFNA(IF(HLOOKUP($A6,PROBAST!$A$6:$AE$77,58,)="Low RoB","+",IF(HLOOKUP($A6,PROBAST!$A$6:$AE$77,58,)="High RoB","-",IF(HLOOKUP($A6,PROBAST!$A$6:$AE$77,58,)="Unclear","?",""))),"")</f>
        <v>-</v>
      </c>
      <c r="G6" s="154" t="str">
        <f>_xlfn.IFNA(IF(HLOOKUP($A6,PROBAST!$A$6:$AE$77,12,)="Low concern","+",IF(HLOOKUP($A6,PROBAST!$A$6:$AE$77,12,)="High concern","-",IF(HLOOKUP($A6,PROBAST!$A$6:$AE$77,12,)="Unclear","?",""))),"")</f>
        <v>+</v>
      </c>
      <c r="H6" s="152" t="str">
        <f>_xlfn.IFNA(IF(HLOOKUP($A6,PROBAST!$A$6:$AE$77,26,)="Low concern","+",IF(HLOOKUP($A6,PROBAST!$A$6:$AE$77,26,)="High concern","-",IF(HLOOKUP($A6,PROBAST!$A$6:$AE$77,26,)="Unclear","?",""))),"")</f>
        <v>+</v>
      </c>
      <c r="I6" s="153" t="str">
        <f>_xlfn.IFNA(IF(HLOOKUP($A6,PROBAST!$A$6:$AE$77,40,)="Low concern","+",IF(HLOOKUP($A6,PROBAST!$A$6:$AE$77,40,)="High concern","-",IF(HLOOKUP($A6,PROBAST!$A$6:$AE$77,40,)="Unclear","?",""))),"")</f>
        <v>+</v>
      </c>
      <c r="J6" s="155" t="str">
        <f>_xlfn.IFNA(IF(OR($C6="-",$D6="-",$E6="-",$F6="-"),"-",IF(OR($C6="?",$D6="?",$E6="?",$F6="?"),"?",IF(AND($C6="+",$D6="+",$E6="+",$F6="+"),"+",""))),"")</f>
        <v>-</v>
      </c>
      <c r="K6" s="156" t="str">
        <f>_xlfn.IFNA(IF(OR($G6="-",$H6="-",$I6="-"),"-",IF(OR($G6="?",$H6="?",$I6="?"),"?",IF(AND($G6="+",$H6="+",$I6="+"),"+",""))),"")</f>
        <v>+</v>
      </c>
      <c r="L6" s="130"/>
      <c r="M6" s="130"/>
      <c r="N6" s="130"/>
      <c r="O6" s="130"/>
      <c r="P6" s="130"/>
      <c r="Q6" s="130"/>
      <c r="R6" s="130"/>
      <c r="S6" s="130"/>
      <c r="T6" s="130"/>
      <c r="U6" s="130"/>
      <c r="V6" s="130"/>
      <c r="W6" s="130"/>
      <c r="X6" s="130"/>
      <c r="Y6" s="130"/>
      <c r="Z6" s="130"/>
      <c r="AA6" s="130"/>
      <c r="AB6" s="130"/>
      <c r="AC6" s="130"/>
      <c r="AD6" s="130"/>
      <c r="AE6" s="130"/>
      <c r="AF6" s="130"/>
      <c r="AG6" s="130"/>
      <c r="AH6" s="130"/>
    </row>
    <row r="7" spans="1:34" s="129" customFormat="1" ht="15" customHeight="1" x14ac:dyDescent="0.25">
      <c r="A7" s="129" t="str">
        <f>CHARMS!I$6</f>
        <v>De Feo, 2012</v>
      </c>
      <c r="B7" s="188" t="str">
        <f>HLOOKUP($A7,CHARMS!$A$6:$CQ$89,1,)</f>
        <v>De Feo, 2012</v>
      </c>
      <c r="C7" s="151" t="str">
        <f>_xlfn.IFNA(IF(HLOOKUP($A7,PROBAST!$A$6:$AE$77,11,)="Low RoB","+",IF(HLOOKUP($A7,PROBAST!$A$6:$AE$77,11,)="High RoB","-",IF(HLOOKUP($A7,PROBAST!$A$6:$AE$77,11,)="Unclear","?",""))),"")</f>
        <v>-</v>
      </c>
      <c r="D7" s="152" t="str">
        <f>_xlfn.IFNA(IF(HLOOKUP($A7,PROBAST!$A$6:$AE$77,25,)="Low RoB","+",IF(HLOOKUP($A7,PROBAST!$A$6:$AE$77,25,)="High RoB","-",IF(HLOOKUP($A7,PROBAST!$A$6:$AE$77,25,)="Unclear","?",""))),"")</f>
        <v>?</v>
      </c>
      <c r="E7" s="152" t="str">
        <f>_xlfn.IFNA(IF(HLOOKUP($A7,PROBAST!$A$6:$AE$77,39,)="Low RoB","+",IF(HLOOKUP($A7,PROBAST!$A$6:$AE$77,39,)="High RoB","-",IF(HLOOKUP($A7,PROBAST!$A$6:$AE$77,39,)="Unclear","?",""))),"")</f>
        <v>+</v>
      </c>
      <c r="F7" s="153" t="str">
        <f>_xlfn.IFNA(IF(HLOOKUP($A7,PROBAST!$A$6:$AE$77,58,)="Low RoB","+",IF(HLOOKUP($A7,PROBAST!$A$6:$AE$77,58,)="High RoB","-",IF(HLOOKUP($A7,PROBAST!$A$6:$AE$77,58,)="Unclear","?",""))),"")</f>
        <v>-</v>
      </c>
      <c r="G7" s="154" t="str">
        <f>_xlfn.IFNA(IF(HLOOKUP($A7,PROBAST!$A$6:$AE$77,12,)="Low concern","+",IF(HLOOKUP($A7,PROBAST!$A$6:$AE$77,12,)="High concern","-",IF(HLOOKUP($A7,PROBAST!$A$6:$AE$77,12,)="Unclear","?",""))),"")</f>
        <v>-</v>
      </c>
      <c r="H7" s="152" t="str">
        <f>_xlfn.IFNA(IF(HLOOKUP($A7,PROBAST!$A$6:$AE$77,26,)="Low concern","+",IF(HLOOKUP($A7,PROBAST!$A$6:$AE$77,26,)="High concern","-",IF(HLOOKUP($A7,PROBAST!$A$6:$AE$77,26,)="Unclear","?",""))),"")</f>
        <v>+</v>
      </c>
      <c r="I7" s="153" t="str">
        <f>_xlfn.IFNA(IF(HLOOKUP($A7,PROBAST!$A$6:$AE$77,40,)="Low concern","+",IF(HLOOKUP($A7,PROBAST!$A$6:$AE$77,40,)="High concern","-",IF(HLOOKUP($A7,PROBAST!$A$6:$AE$77,40,)="Unclear","?",""))),"")</f>
        <v>+</v>
      </c>
      <c r="J7" s="155" t="str">
        <f t="shared" ref="J7:J35" si="0">_xlfn.IFNA(IF(OR($C7="-",$D7="-",$E7="-",$F7="-"),"-",IF(OR($C7="?",$D7="?",$E7="?",$F7="?"),"?",IF(AND($C7="+",$D7="+",$E7="+",$F7="+"),"+",""))),"")</f>
        <v>-</v>
      </c>
      <c r="K7" s="156" t="str">
        <f t="shared" ref="K7:K35" si="1">_xlfn.IFNA(IF(OR($G7="-",$H7="-",$I7="-"),"-",IF(OR($G7="?",$H7="?",$I7="?"),"?",IF(AND($G7="+",$H7="+",$I7="+"),"+",""))),"")</f>
        <v>-</v>
      </c>
      <c r="L7" s="130"/>
      <c r="M7" s="130"/>
      <c r="N7" s="130"/>
      <c r="O7" s="130"/>
      <c r="P7" s="130"/>
      <c r="Q7" s="130"/>
      <c r="R7" s="130"/>
      <c r="S7" s="130"/>
      <c r="T7" s="130"/>
      <c r="U7" s="130"/>
      <c r="V7" s="130"/>
      <c r="W7" s="130"/>
      <c r="X7" s="130"/>
      <c r="Y7" s="130"/>
      <c r="Z7" s="130"/>
      <c r="AA7" s="130"/>
      <c r="AB7" s="130"/>
      <c r="AC7" s="130"/>
      <c r="AD7" s="130"/>
      <c r="AE7" s="130"/>
      <c r="AF7" s="130"/>
      <c r="AG7" s="130"/>
      <c r="AH7" s="130"/>
    </row>
    <row r="8" spans="1:34" s="129" customFormat="1" ht="15" customHeight="1" x14ac:dyDescent="0.25">
      <c r="A8" s="129" t="str">
        <f>CHARMS!L$6</f>
        <v>Martínez-Sellés, 2014</v>
      </c>
      <c r="B8" s="188" t="str">
        <f>HLOOKUP($A8,CHARMS!$A$6:$CQ$89,1,)</f>
        <v>Martínez-Sellés, 2014</v>
      </c>
      <c r="C8" s="151" t="str">
        <f>_xlfn.IFNA(IF(HLOOKUP($A8,PROBAST!$A$6:$AE$77,11,)="Low RoB","+",IF(HLOOKUP($A8,PROBAST!$A$6:$AE$77,11,)="High RoB","-",IF(HLOOKUP($A8,PROBAST!$A$6:$AE$77,11,)="Unclear","?",""))),"")</f>
        <v>+</v>
      </c>
      <c r="D8" s="152" t="str">
        <f>_xlfn.IFNA(IF(HLOOKUP($A8,PROBAST!$A$6:$AE$77,25,)="Low RoB","+",IF(HLOOKUP($A8,PROBAST!$A$6:$AE$77,25,)="High RoB","-",IF(HLOOKUP($A8,PROBAST!$A$6:$AE$77,25,)="Unclear","?",""))),"")</f>
        <v>+</v>
      </c>
      <c r="E8" s="152" t="str">
        <f>_xlfn.IFNA(IF(HLOOKUP($A8,PROBAST!$A$6:$AE$77,39,)="Low RoB","+",IF(HLOOKUP($A8,PROBAST!$A$6:$AE$77,39,)="High RoB","-",IF(HLOOKUP($A8,PROBAST!$A$6:$AE$77,39,)="Unclear","?",""))),"")</f>
        <v>+</v>
      </c>
      <c r="F8" s="153" t="str">
        <f>_xlfn.IFNA(IF(HLOOKUP($A8,PROBAST!$A$6:$AE$77,58,)="Low RoB","+",IF(HLOOKUP($A8,PROBAST!$A$6:$AE$77,58,)="High RoB","-",IF(HLOOKUP($A8,PROBAST!$A$6:$AE$77,58,)="Unclear","?",""))),"")</f>
        <v>-</v>
      </c>
      <c r="G8" s="154" t="str">
        <f>_xlfn.IFNA(IF(HLOOKUP($A8,PROBAST!$A$6:$AE$77,12,)="Low concern","+",IF(HLOOKUP($A8,PROBAST!$A$6:$AE$77,12,)="High concern","-",IF(HLOOKUP($A8,PROBAST!$A$6:$AE$77,12,)="Unclear","?",""))),"")</f>
        <v>+</v>
      </c>
      <c r="H8" s="152" t="str">
        <f>_xlfn.IFNA(IF(HLOOKUP($A8,PROBAST!$A$6:$AE$77,26,)="Low concern","+",IF(HLOOKUP($A8,PROBAST!$A$6:$AE$77,26,)="High concern","-",IF(HLOOKUP($A8,PROBAST!$A$6:$AE$77,26,)="Unclear","?",""))),"")</f>
        <v>+</v>
      </c>
      <c r="I8" s="153" t="str">
        <f>_xlfn.IFNA(IF(HLOOKUP($A8,PROBAST!$A$6:$AE$77,40,)="Low concern","+",IF(HLOOKUP($A8,PROBAST!$A$6:$AE$77,40,)="High concern","-",IF(HLOOKUP($A8,PROBAST!$A$6:$AE$77,40,)="Unclear","?",""))),"")</f>
        <v>+</v>
      </c>
      <c r="J8" s="155" t="str">
        <f t="shared" si="0"/>
        <v>-</v>
      </c>
      <c r="K8" s="156" t="str">
        <f t="shared" si="1"/>
        <v>+</v>
      </c>
      <c r="L8" s="130"/>
      <c r="M8" s="130"/>
      <c r="N8" s="130"/>
      <c r="O8" s="130"/>
      <c r="P8" s="130"/>
      <c r="Q8" s="130"/>
      <c r="R8" s="130"/>
      <c r="S8" s="130"/>
      <c r="T8" s="130"/>
      <c r="U8" s="130"/>
      <c r="V8" s="130"/>
      <c r="W8" s="130"/>
      <c r="X8" s="130"/>
      <c r="Y8" s="130"/>
      <c r="Z8" s="130"/>
      <c r="AA8" s="130"/>
      <c r="AB8" s="130"/>
      <c r="AC8" s="130"/>
      <c r="AD8" s="130"/>
      <c r="AE8" s="130"/>
      <c r="AF8" s="130"/>
      <c r="AG8" s="130"/>
      <c r="AH8" s="130"/>
    </row>
    <row r="9" spans="1:34" s="129" customFormat="1" ht="15" customHeight="1" x14ac:dyDescent="0.25">
      <c r="A9" s="129" t="str">
        <f>CHARMS!O$6</f>
        <v>Madeira, 2016</v>
      </c>
      <c r="B9" s="188" t="str">
        <f>HLOOKUP($A9,CHARMS!$A$6:$CQ$89,1,)</f>
        <v>Madeira, 2016</v>
      </c>
      <c r="C9" s="151" t="str">
        <f>_xlfn.IFNA(IF(HLOOKUP($A9,PROBAST!$A$6:$AE$77,11,)="Low RoB","+",IF(HLOOKUP($A9,PROBAST!$A$6:$AE$77,11,)="High RoB","-",IF(HLOOKUP($A9,PROBAST!$A$6:$AE$77,11,)="Unclear","?",""))),"")</f>
        <v>?</v>
      </c>
      <c r="D9" s="152" t="str">
        <f>_xlfn.IFNA(IF(HLOOKUP($A9,PROBAST!$A$6:$AE$77,25,)="Low RoB","+",IF(HLOOKUP($A9,PROBAST!$A$6:$AE$77,25,)="High RoB","-",IF(HLOOKUP($A9,PROBAST!$A$6:$AE$77,25,)="Unclear","?",""))),"")</f>
        <v>+</v>
      </c>
      <c r="E9" s="152" t="str">
        <f>_xlfn.IFNA(IF(HLOOKUP($A9,PROBAST!$A$6:$AE$77,39,)="Low RoB","+",IF(HLOOKUP($A9,PROBAST!$A$6:$AE$77,39,)="High RoB","-",IF(HLOOKUP($A9,PROBAST!$A$6:$AE$77,39,)="Unclear","?",""))),"")</f>
        <v>+</v>
      </c>
      <c r="F9" s="153" t="str">
        <f>_xlfn.IFNA(IF(HLOOKUP($A9,PROBAST!$A$6:$AE$77,58,)="Low RoB","+",IF(HLOOKUP($A9,PROBAST!$A$6:$AE$77,58,)="High RoB","-",IF(HLOOKUP($A9,PROBAST!$A$6:$AE$77,58,)="Unclear","?",""))),"")</f>
        <v>-</v>
      </c>
      <c r="G9" s="154" t="str">
        <f>_xlfn.IFNA(IF(HLOOKUP($A9,PROBAST!$A$6:$AE$77,12,)="Low concern","+",IF(HLOOKUP($A9,PROBAST!$A$6:$AE$77,12,)="High concern","-",IF(HLOOKUP($A9,PROBAST!$A$6:$AE$77,12,)="Unclear","?",""))),"")</f>
        <v>?</v>
      </c>
      <c r="H9" s="152" t="str">
        <f>_xlfn.IFNA(IF(HLOOKUP($A9,PROBAST!$A$6:$AE$77,26,)="Low concern","+",IF(HLOOKUP($A9,PROBAST!$A$6:$AE$77,26,)="High concern","-",IF(HLOOKUP($A9,PROBAST!$A$6:$AE$77,26,)="Unclear","?",""))),"")</f>
        <v>+</v>
      </c>
      <c r="I9" s="153" t="str">
        <f>_xlfn.IFNA(IF(HLOOKUP($A9,PROBAST!$A$6:$AE$77,40,)="Low concern","+",IF(HLOOKUP($A9,PROBAST!$A$6:$AE$77,40,)="High concern","-",IF(HLOOKUP($A9,PROBAST!$A$6:$AE$77,40,)="Unclear","?",""))),"")</f>
        <v>+</v>
      </c>
      <c r="J9" s="155" t="str">
        <f t="shared" si="0"/>
        <v>-</v>
      </c>
      <c r="K9" s="156" t="str">
        <f t="shared" si="1"/>
        <v>?</v>
      </c>
      <c r="L9" s="130"/>
      <c r="M9" s="130"/>
      <c r="N9" s="130"/>
      <c r="O9" s="130"/>
      <c r="P9" s="130"/>
      <c r="Q9" s="130"/>
      <c r="R9" s="130"/>
      <c r="S9" s="130"/>
      <c r="T9" s="130"/>
      <c r="U9" s="130"/>
      <c r="V9" s="130"/>
      <c r="W9" s="130"/>
      <c r="X9" s="130"/>
      <c r="Y9" s="130"/>
      <c r="Z9" s="130"/>
      <c r="AA9" s="130"/>
      <c r="AB9" s="130"/>
      <c r="AC9" s="130"/>
      <c r="AD9" s="130"/>
      <c r="AE9" s="130"/>
      <c r="AF9" s="130"/>
      <c r="AG9" s="130"/>
      <c r="AH9" s="130"/>
    </row>
    <row r="10" spans="1:34" s="129" customFormat="1" ht="15" customHeight="1" x14ac:dyDescent="0.2">
      <c r="A10" s="127" t="str">
        <f>CHARMS!R$6</f>
        <v>Gatti (a), 2017</v>
      </c>
      <c r="B10" s="188" t="str">
        <f>HLOOKUP($A10,CHARMS!$A$6:$CQ$89,1,)</f>
        <v>Gatti (a), 2017</v>
      </c>
      <c r="C10" s="151" t="str">
        <f>_xlfn.IFNA(IF(HLOOKUP($A10,PROBAST!$A$6:$AE$77,11,)="Low RoB","+",IF(HLOOKUP($A10,PROBAST!$A$6:$AE$77,11,)="High RoB","-",IF(HLOOKUP($A10,PROBAST!$A$6:$AE$77,11,)="Unclear","?",""))),"")</f>
        <v>+</v>
      </c>
      <c r="D10" s="152" t="str">
        <f>_xlfn.IFNA(IF(HLOOKUP($A10,PROBAST!$A$6:$AE$77,25,)="Low RoB","+",IF(HLOOKUP($A10,PROBAST!$A$6:$AE$77,25,)="High RoB","-",IF(HLOOKUP($A10,PROBAST!$A$6:$AE$77,25,)="Unclear","?",""))),"")</f>
        <v>+</v>
      </c>
      <c r="E10" s="152" t="str">
        <f>_xlfn.IFNA(IF(HLOOKUP($A10,PROBAST!$A$6:$AE$77,39,)="Low RoB","+",IF(HLOOKUP($A10,PROBAST!$A$6:$AE$77,39,)="High RoB","-",IF(HLOOKUP($A10,PROBAST!$A$6:$AE$77,39,)="Unclear","?",""))),"")</f>
        <v>+</v>
      </c>
      <c r="F10" s="153" t="str">
        <f>_xlfn.IFNA(IF(HLOOKUP($A10,PROBAST!$A$6:$AE$77,58,)="Low RoB","+",IF(HLOOKUP($A10,PROBAST!$A$6:$AE$77,58,)="High RoB","-",IF(HLOOKUP($A10,PROBAST!$A$6:$AE$77,58,)="Unclear","?",""))),"")</f>
        <v>-</v>
      </c>
      <c r="G10" s="154" t="str">
        <f>_xlfn.IFNA(IF(HLOOKUP($A10,PROBAST!$A$6:$AE$77,12,)="Low concern","+",IF(HLOOKUP($A10,PROBAST!$A$6:$AE$77,12,)="High concern","-",IF(HLOOKUP($A10,PROBAST!$A$6:$AE$77,12,)="Unclear","?",""))),"")</f>
        <v>+</v>
      </c>
      <c r="H10" s="152" t="str">
        <f>_xlfn.IFNA(IF(HLOOKUP($A10,PROBAST!$A$6:$AE$77,26,)="Low concern","+",IF(HLOOKUP($A10,PROBAST!$A$6:$AE$77,26,)="High concern","-",IF(HLOOKUP($A10,PROBAST!$A$6:$AE$77,26,)="Unclear","?",""))),"")</f>
        <v>?</v>
      </c>
      <c r="I10" s="153" t="str">
        <f>_xlfn.IFNA(IF(HLOOKUP($A10,PROBAST!$A$6:$AE$77,40,)="Low concern","+",IF(HLOOKUP($A10,PROBAST!$A$6:$AE$77,40,)="High concern","-",IF(HLOOKUP($A10,PROBAST!$A$6:$AE$77,40,)="Unclear","?",""))),"")</f>
        <v>+</v>
      </c>
      <c r="J10" s="155" t="str">
        <f t="shared" si="0"/>
        <v>-</v>
      </c>
      <c r="K10" s="156" t="str">
        <f t="shared" si="1"/>
        <v>?</v>
      </c>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row>
    <row r="11" spans="1:34" s="129" customFormat="1" ht="15" customHeight="1" x14ac:dyDescent="0.2">
      <c r="A11" s="127" t="str">
        <f>CHARMS!U$6</f>
        <v>Gatti (b), 2017</v>
      </c>
      <c r="B11" s="188" t="str">
        <f>HLOOKUP($A11,CHARMS!$A$6:$CQ$89,1,)</f>
        <v>Gatti (b), 2017</v>
      </c>
      <c r="C11" s="151" t="str">
        <f>_xlfn.IFNA(IF(HLOOKUP($A11,PROBAST!$A$6:$AE$77,11,)="Low RoB","+",IF(HLOOKUP($A11,PROBAST!$A$6:$AE$77,11,)="High RoB","-",IF(HLOOKUP($A11,PROBAST!$A$6:$AE$77,11,)="Unclear","?",""))),"")</f>
        <v>+</v>
      </c>
      <c r="D11" s="152" t="str">
        <f>_xlfn.IFNA(IF(HLOOKUP($A11,PROBAST!$A$6:$AE$77,25,)="Low RoB","+",IF(HLOOKUP($A11,PROBAST!$A$6:$AE$77,25,)="High RoB","-",IF(HLOOKUP($A11,PROBAST!$A$6:$AE$77,25,)="Unclear","?",""))),"")</f>
        <v>+</v>
      </c>
      <c r="E11" s="152" t="str">
        <f>_xlfn.IFNA(IF(HLOOKUP($A11,PROBAST!$A$6:$AE$77,39,)="Low RoB","+",IF(HLOOKUP($A11,PROBAST!$A$6:$AE$77,39,)="High RoB","-",IF(HLOOKUP($A11,PROBAST!$A$6:$AE$77,39,)="Unclear","?",""))),"")</f>
        <v>+</v>
      </c>
      <c r="F11" s="153" t="str">
        <f>_xlfn.IFNA(IF(HLOOKUP($A11,PROBAST!$A$6:$AE$77,58,)="Low RoB","+",IF(HLOOKUP($A11,PROBAST!$A$6:$AE$77,58,)="High RoB","-",IF(HLOOKUP($A11,PROBAST!$A$6:$AE$77,58,)="Unclear","?",""))),"")</f>
        <v>-</v>
      </c>
      <c r="G11" s="154" t="str">
        <f>_xlfn.IFNA(IF(HLOOKUP($A11,PROBAST!$A$6:$AE$77,12,)="Low concern","+",IF(HLOOKUP($A11,PROBAST!$A$6:$AE$77,12,)="High concern","-",IF(HLOOKUP($A11,PROBAST!$A$6:$AE$77,12,)="Unclear","?",""))),"")</f>
        <v>+</v>
      </c>
      <c r="H11" s="152" t="str">
        <f>_xlfn.IFNA(IF(HLOOKUP($A11,PROBAST!$A$6:$AE$77,26,)="Low concern","+",IF(HLOOKUP($A11,PROBAST!$A$6:$AE$77,26,)="High concern","-",IF(HLOOKUP($A11,PROBAST!$A$6:$AE$77,26,)="Unclear","?",""))),"")</f>
        <v>+</v>
      </c>
      <c r="I11" s="153" t="str">
        <f>_xlfn.IFNA(IF(HLOOKUP($A11,PROBAST!$A$6:$AE$77,40,)="Low concern","+",IF(HLOOKUP($A11,PROBAST!$A$6:$AE$77,40,)="High concern","-",IF(HLOOKUP($A11,PROBAST!$A$6:$AE$77,40,)="Unclear","?",""))),"")</f>
        <v>+</v>
      </c>
      <c r="J11" s="155" t="str">
        <f t="shared" si="0"/>
        <v>-</v>
      </c>
      <c r="K11" s="156" t="str">
        <f t="shared" si="1"/>
        <v>+</v>
      </c>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row>
    <row r="12" spans="1:34" s="129" customFormat="1" ht="15" customHeight="1" x14ac:dyDescent="0.2">
      <c r="A12" s="127" t="str">
        <f>CHARMS!X$6</f>
        <v>Di Mauro, 2017</v>
      </c>
      <c r="B12" s="188" t="str">
        <f>HLOOKUP($A12,CHARMS!$A$6:$CQ$89,1,)</f>
        <v>Di Mauro, 2017</v>
      </c>
      <c r="C12" s="151" t="str">
        <f>_xlfn.IFNA(IF(HLOOKUP($A12,PROBAST!$A$6:$AE$77,11,)="Low RoB","+",IF(HLOOKUP($A12,PROBAST!$A$6:$AE$77,11,)="High RoB","-",IF(HLOOKUP($A12,PROBAST!$A$6:$AE$77,11,)="Unclear","?",""))),"")</f>
        <v>?</v>
      </c>
      <c r="D12" s="152" t="str">
        <f>_xlfn.IFNA(IF(HLOOKUP($A12,PROBAST!$A$6:$AE$77,25,)="Low RoB","+",IF(HLOOKUP($A12,PROBAST!$A$6:$AE$77,25,)="High RoB","-",IF(HLOOKUP($A12,PROBAST!$A$6:$AE$77,25,)="Unclear","?",""))),"")</f>
        <v>+</v>
      </c>
      <c r="E12" s="152" t="str">
        <f>_xlfn.IFNA(IF(HLOOKUP($A12,PROBAST!$A$6:$AE$77,39,)="Low RoB","+",IF(HLOOKUP($A12,PROBAST!$A$6:$AE$77,39,)="High RoB","-",IF(HLOOKUP($A12,PROBAST!$A$6:$AE$77,39,)="Unclear","?",""))),"")</f>
        <v>+</v>
      </c>
      <c r="F12" s="153" t="str">
        <f>_xlfn.IFNA(IF(HLOOKUP($A12,PROBAST!$A$6:$AE$77,58,)="Low RoB","+",IF(HLOOKUP($A12,PROBAST!$A$6:$AE$77,58,)="High RoB","-",IF(HLOOKUP($A12,PROBAST!$A$6:$AE$77,58,)="Unclear","?",""))),"")</f>
        <v>?</v>
      </c>
      <c r="G12" s="154" t="str">
        <f>_xlfn.IFNA(IF(HLOOKUP($A12,PROBAST!$A$6:$AE$77,12,)="Low concern","+",IF(HLOOKUP($A12,PROBAST!$A$6:$AE$77,12,)="High concern","-",IF(HLOOKUP($A12,PROBAST!$A$6:$AE$77,12,)="Unclear","?",""))),"")</f>
        <v>?</v>
      </c>
      <c r="H12" s="152" t="str">
        <f>_xlfn.IFNA(IF(HLOOKUP($A12,PROBAST!$A$6:$AE$77,26,)="Low concern","+",IF(HLOOKUP($A12,PROBAST!$A$6:$AE$77,26,)="High concern","-",IF(HLOOKUP($A12,PROBAST!$A$6:$AE$77,26,)="Unclear","?",""))),"")</f>
        <v>+</v>
      </c>
      <c r="I12" s="153" t="str">
        <f>_xlfn.IFNA(IF(HLOOKUP($A12,PROBAST!$A$6:$AE$77,40,)="Low concern","+",IF(HLOOKUP($A12,PROBAST!$A$6:$AE$77,40,)="High concern","-",IF(HLOOKUP($A12,PROBAST!$A$6:$AE$77,40,)="Unclear","?",""))),"")</f>
        <v>+</v>
      </c>
      <c r="J12" s="155" t="str">
        <f t="shared" si="0"/>
        <v>?</v>
      </c>
      <c r="K12" s="156" t="str">
        <f t="shared" si="1"/>
        <v>?</v>
      </c>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row>
    <row r="13" spans="1:34" s="129" customFormat="1" ht="15" customHeight="1" x14ac:dyDescent="0.2">
      <c r="A13" s="127" t="str">
        <f>CHARMS!AA$6</f>
        <v>Gatti (c), 2017</v>
      </c>
      <c r="B13" s="188" t="str">
        <f>HLOOKUP($A13,CHARMS!$A$6:$CQ$89,1,)</f>
        <v>Gatti (c), 2017</v>
      </c>
      <c r="C13" s="151" t="str">
        <f>_xlfn.IFNA(IF(HLOOKUP($A13,PROBAST!$A$6:$AE$77,11,)="Low RoB","+",IF(HLOOKUP($A13,PROBAST!$A$6:$AE$77,11,)="High RoB","-",IF(HLOOKUP($A13,PROBAST!$A$6:$AE$77,11,)="Unclear","?",""))),"")</f>
        <v>+</v>
      </c>
      <c r="D13" s="152" t="str">
        <f>_xlfn.IFNA(IF(HLOOKUP($A13,PROBAST!$A$6:$AE$77,25,)="Low RoB","+",IF(HLOOKUP($A13,PROBAST!$A$6:$AE$77,25,)="High RoB","-",IF(HLOOKUP($A13,PROBAST!$A$6:$AE$77,25,)="Unclear","?",""))),"")</f>
        <v>+</v>
      </c>
      <c r="E13" s="152" t="str">
        <f>_xlfn.IFNA(IF(HLOOKUP($A13,PROBAST!$A$6:$AE$77,39,)="Low RoB","+",IF(HLOOKUP($A13,PROBAST!$A$6:$AE$77,39,)="High RoB","-",IF(HLOOKUP($A13,PROBAST!$A$6:$AE$77,39,)="Unclear","?",""))),"")</f>
        <v>+</v>
      </c>
      <c r="F13" s="153" t="str">
        <f>_xlfn.IFNA(IF(HLOOKUP($A13,PROBAST!$A$6:$AE$77,58,)="Low RoB","+",IF(HLOOKUP($A13,PROBAST!$A$6:$AE$77,58,)="High RoB","-",IF(HLOOKUP($A13,PROBAST!$A$6:$AE$77,58,)="Unclear","?",""))),"")</f>
        <v>-</v>
      </c>
      <c r="G13" s="154" t="str">
        <f>_xlfn.IFNA(IF(HLOOKUP($A13,PROBAST!$A$6:$AE$77,12,)="Low concern","+",IF(HLOOKUP($A13,PROBAST!$A$6:$AE$77,12,)="High concern","-",IF(HLOOKUP($A13,PROBAST!$A$6:$AE$77,12,)="Unclear","?",""))),"")</f>
        <v>+</v>
      </c>
      <c r="H13" s="152" t="str">
        <f>_xlfn.IFNA(IF(HLOOKUP($A13,PROBAST!$A$6:$AE$77,26,)="Low concern","+",IF(HLOOKUP($A13,PROBAST!$A$6:$AE$77,26,)="High concern","-",IF(HLOOKUP($A13,PROBAST!$A$6:$AE$77,26,)="Unclear","?",""))),"")</f>
        <v>+</v>
      </c>
      <c r="I13" s="153" t="str">
        <f>_xlfn.IFNA(IF(HLOOKUP($A13,PROBAST!$A$6:$AE$77,40,)="Low concern","+",IF(HLOOKUP($A13,PROBAST!$A$6:$AE$77,40,)="High concern","-",IF(HLOOKUP($A13,PROBAST!$A$6:$AE$77,40,)="Unclear","?",""))),"")</f>
        <v>+</v>
      </c>
      <c r="J13" s="155" t="str">
        <f t="shared" si="0"/>
        <v>-</v>
      </c>
      <c r="K13" s="156" t="str">
        <f t="shared" si="1"/>
        <v>+</v>
      </c>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row>
    <row r="14" spans="1:34" s="129" customFormat="1" ht="15" customHeight="1" x14ac:dyDescent="0.2">
      <c r="A14" s="127" t="str">
        <f>CHARMS!AD$6</f>
        <v>Olmos, 2017</v>
      </c>
      <c r="B14" s="188" t="str">
        <f>HLOOKUP($A14,CHARMS!$A$6:$CQ$89,1,)</f>
        <v>Olmos, 2017</v>
      </c>
      <c r="C14" s="151" t="str">
        <f>_xlfn.IFNA(IF(HLOOKUP($A14,PROBAST!$A$6:$AE$77,11,)="Low RoB","+",IF(HLOOKUP($A14,PROBAST!$A$6:$AE$77,11,)="High RoB","-",IF(HLOOKUP($A14,PROBAST!$A$6:$AE$77,11,)="Unclear","?",""))),"")</f>
        <v>+</v>
      </c>
      <c r="D14" s="152" t="str">
        <f>_xlfn.IFNA(IF(HLOOKUP($A14,PROBAST!$A$6:$AE$77,25,)="Low RoB","+",IF(HLOOKUP($A14,PROBAST!$A$6:$AE$77,25,)="High RoB","-",IF(HLOOKUP($A14,PROBAST!$A$6:$AE$77,25,)="Unclear","?",""))),"")</f>
        <v>+</v>
      </c>
      <c r="E14" s="152" t="str">
        <f>_xlfn.IFNA(IF(HLOOKUP($A14,PROBAST!$A$6:$AE$77,39,)="Low RoB","+",IF(HLOOKUP($A14,PROBAST!$A$6:$AE$77,39,)="High RoB","-",IF(HLOOKUP($A14,PROBAST!$A$6:$AE$77,39,)="Unclear","?",""))),"")</f>
        <v>+</v>
      </c>
      <c r="F14" s="153" t="str">
        <f>_xlfn.IFNA(IF(HLOOKUP($A14,PROBAST!$A$6:$AE$77,58,)="Low RoB","+",IF(HLOOKUP($A14,PROBAST!$A$6:$AE$77,58,)="High RoB","-",IF(HLOOKUP($A14,PROBAST!$A$6:$AE$77,58,)="Unclear","?",""))),"")</f>
        <v>-</v>
      </c>
      <c r="G14" s="154" t="str">
        <f>_xlfn.IFNA(IF(HLOOKUP($A14,PROBAST!$A$6:$AE$77,12,)="Low concern","+",IF(HLOOKUP($A14,PROBAST!$A$6:$AE$77,12,)="High concern","-",IF(HLOOKUP($A14,PROBAST!$A$6:$AE$77,12,)="Unclear","?",""))),"")</f>
        <v>+</v>
      </c>
      <c r="H14" s="152" t="str">
        <f>_xlfn.IFNA(IF(HLOOKUP($A14,PROBAST!$A$6:$AE$77,26,)="Low concern","+",IF(HLOOKUP($A14,PROBAST!$A$6:$AE$77,26,)="High concern","-",IF(HLOOKUP($A14,PROBAST!$A$6:$AE$77,26,)="Unclear","?",""))),"")</f>
        <v>+</v>
      </c>
      <c r="I14" s="153" t="str">
        <f>_xlfn.IFNA(IF(HLOOKUP($A14,PROBAST!$A$6:$AE$77,40,)="Low concern","+",IF(HLOOKUP($A14,PROBAST!$A$6:$AE$77,40,)="High concern","-",IF(HLOOKUP($A14,PROBAST!$A$6:$AE$77,40,)="Unclear","?",""))),"")</f>
        <v>+</v>
      </c>
      <c r="J14" s="155" t="str">
        <f t="shared" si="0"/>
        <v>-</v>
      </c>
      <c r="K14" s="156" t="str">
        <f t="shared" si="1"/>
        <v>+</v>
      </c>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row>
    <row r="15" spans="1:34" s="129" customFormat="1" ht="15" customHeight="1" x14ac:dyDescent="0.2">
      <c r="A15" s="127" t="str">
        <f>CHARMS!AG$6</f>
        <v>Fernández-Hidalgo (a), 2018</v>
      </c>
      <c r="B15" s="188" t="str">
        <f>HLOOKUP($A15,CHARMS!$A$6:$CQ$89,1,)</f>
        <v>Fernández-Hidalgo (a), 2018</v>
      </c>
      <c r="C15" s="151" t="str">
        <f>_xlfn.IFNA(IF(HLOOKUP($A15,PROBAST!$A$6:$AE$77,11,)="Low RoB","+",IF(HLOOKUP($A15,PROBAST!$A$6:$AE$77,11,)="High RoB","-",IF(HLOOKUP($A15,PROBAST!$A$6:$AE$77,11,)="Unclear","?",""))),"")</f>
        <v>+</v>
      </c>
      <c r="D15" s="152" t="str">
        <f>_xlfn.IFNA(IF(HLOOKUP($A15,PROBAST!$A$6:$AE$77,25,)="Low RoB","+",IF(HLOOKUP($A15,PROBAST!$A$6:$AE$77,25,)="High RoB","-",IF(HLOOKUP($A15,PROBAST!$A$6:$AE$77,25,)="Unclear","?",""))),"")</f>
        <v>+</v>
      </c>
      <c r="E15" s="152" t="str">
        <f>_xlfn.IFNA(IF(HLOOKUP($A15,PROBAST!$A$6:$AE$77,39,)="Low RoB","+",IF(HLOOKUP($A15,PROBAST!$A$6:$AE$77,39,)="High RoB","-",IF(HLOOKUP($A15,PROBAST!$A$6:$AE$77,39,)="Unclear","?",""))),"")</f>
        <v>+</v>
      </c>
      <c r="F15" s="153" t="str">
        <f>_xlfn.IFNA(IF(HLOOKUP($A15,PROBAST!$A$6:$AE$77,58,)="Low RoB","+",IF(HLOOKUP($A15,PROBAST!$A$6:$AE$77,58,)="High RoB","-",IF(HLOOKUP($A15,PROBAST!$A$6:$AE$77,58,)="Unclear","?",""))),"")</f>
        <v>+</v>
      </c>
      <c r="G15" s="154" t="str">
        <f>_xlfn.IFNA(IF(HLOOKUP($A15,PROBAST!$A$6:$AE$77,12,)="Low concern","+",IF(HLOOKUP($A15,PROBAST!$A$6:$AE$77,12,)="High concern","-",IF(HLOOKUP($A15,PROBAST!$A$6:$AE$77,12,)="Unclear","?",""))),"")</f>
        <v>+</v>
      </c>
      <c r="H15" s="152" t="str">
        <f>_xlfn.IFNA(IF(HLOOKUP($A15,PROBAST!$A$6:$AE$77,26,)="Low concern","+",IF(HLOOKUP($A15,PROBAST!$A$6:$AE$77,26,)="High concern","-",IF(HLOOKUP($A15,PROBAST!$A$6:$AE$77,26,)="Unclear","?",""))),"")</f>
        <v>?</v>
      </c>
      <c r="I15" s="153" t="str">
        <f>_xlfn.IFNA(IF(HLOOKUP($A15,PROBAST!$A$6:$AE$77,40,)="Low concern","+",IF(HLOOKUP($A15,PROBAST!$A$6:$AE$77,40,)="High concern","-",IF(HLOOKUP($A15,PROBAST!$A$6:$AE$77,40,)="Unclear","?",""))),"")</f>
        <v>+</v>
      </c>
      <c r="J15" s="155" t="str">
        <f t="shared" si="0"/>
        <v>+</v>
      </c>
      <c r="K15" s="156" t="str">
        <f t="shared" si="1"/>
        <v>?</v>
      </c>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row>
    <row r="16" spans="1:34" s="127" customFormat="1" ht="15" customHeight="1" x14ac:dyDescent="0.2">
      <c r="A16" s="127" t="str">
        <f>CHARMS!AJ$6</f>
        <v>Fernández-Hidalgo (b), 2018</v>
      </c>
      <c r="B16" s="188" t="str">
        <f>HLOOKUP($A16,CHARMS!$A$6:$CQ$89,1,)</f>
        <v>Fernández-Hidalgo (b), 2018</v>
      </c>
      <c r="C16" s="151" t="str">
        <f>_xlfn.IFNA(IF(HLOOKUP($A16,PROBAST!$A$6:$AE$77,11,)="Low RoB","+",IF(HLOOKUP($A16,PROBAST!$A$6:$AE$77,11,)="High RoB","-",IF(HLOOKUP($A16,PROBAST!$A$6:$AE$77,11,)="Unclear","?",""))),"")</f>
        <v>+</v>
      </c>
      <c r="D16" s="152" t="str">
        <f>_xlfn.IFNA(IF(HLOOKUP($A16,PROBAST!$A$6:$AE$77,25,)="Low RoB","+",IF(HLOOKUP($A16,PROBAST!$A$6:$AE$77,25,)="High RoB","-",IF(HLOOKUP($A16,PROBAST!$A$6:$AE$77,25,)="Unclear","?",""))),"")</f>
        <v>+</v>
      </c>
      <c r="E16" s="152" t="str">
        <f>_xlfn.IFNA(IF(HLOOKUP($A16,PROBAST!$A$6:$AE$77,39,)="Low RoB","+",IF(HLOOKUP($A16,PROBAST!$A$6:$AE$77,39,)="High RoB","-",IF(HLOOKUP($A16,PROBAST!$A$6:$AE$77,39,)="Unclear","?",""))),"")</f>
        <v>+</v>
      </c>
      <c r="F16" s="153" t="str">
        <f>_xlfn.IFNA(IF(HLOOKUP($A16,PROBAST!$A$6:$AE$77,58,)="Low RoB","+",IF(HLOOKUP($A16,PROBAST!$A$6:$AE$77,58,)="High RoB","-",IF(HLOOKUP($A16,PROBAST!$A$6:$AE$77,58,)="Unclear","?",""))),"")</f>
        <v>+</v>
      </c>
      <c r="G16" s="154" t="str">
        <f>_xlfn.IFNA(IF(HLOOKUP($A16,PROBAST!$A$6:$AE$77,12,)="Low concern","+",IF(HLOOKUP($A16,PROBAST!$A$6:$AE$77,12,)="High concern","-",IF(HLOOKUP($A16,PROBAST!$A$6:$AE$77,12,)="Unclear","?",""))),"")</f>
        <v>+</v>
      </c>
      <c r="H16" s="152" t="str">
        <f>_xlfn.IFNA(IF(HLOOKUP($A16,PROBAST!$A$6:$AE$77,26,)="Low concern","+",IF(HLOOKUP($A16,PROBAST!$A$6:$AE$77,26,)="High concern","-",IF(HLOOKUP($A16,PROBAST!$A$6:$AE$77,26,)="Unclear","?",""))),"")</f>
        <v>+</v>
      </c>
      <c r="I16" s="153" t="str">
        <f>_xlfn.IFNA(IF(HLOOKUP($A16,PROBAST!$A$6:$AE$77,40,)="Low concern","+",IF(HLOOKUP($A16,PROBAST!$A$6:$AE$77,40,)="High concern","-",IF(HLOOKUP($A16,PROBAST!$A$6:$AE$77,40,)="Unclear","?",""))),"")</f>
        <v>+</v>
      </c>
      <c r="J16" s="155" t="str">
        <f t="shared" si="0"/>
        <v>+</v>
      </c>
      <c r="K16" s="156" t="str">
        <f t="shared" si="1"/>
        <v>+</v>
      </c>
      <c r="L16" s="157"/>
      <c r="M16" s="126"/>
      <c r="N16" s="126"/>
      <c r="O16" s="126"/>
      <c r="P16" s="126"/>
      <c r="Q16" s="126"/>
      <c r="R16" s="126"/>
      <c r="S16" s="126"/>
      <c r="T16" s="126"/>
      <c r="U16" s="126"/>
      <c r="V16" s="126"/>
      <c r="W16" s="126"/>
      <c r="X16" s="126"/>
      <c r="Y16" s="126"/>
      <c r="Z16" s="126"/>
      <c r="AA16" s="126"/>
      <c r="AB16" s="126"/>
      <c r="AC16" s="126"/>
      <c r="AD16" s="126"/>
      <c r="AE16" s="126"/>
      <c r="AF16" s="126"/>
      <c r="AG16" s="126"/>
      <c r="AH16" s="126"/>
    </row>
    <row r="17" spans="1:34" s="127" customFormat="1" ht="15" customHeight="1" x14ac:dyDescent="0.2">
      <c r="A17" s="127" t="str">
        <f>CHARMS!AM$6</f>
        <v/>
      </c>
      <c r="B17" s="188" t="str">
        <f>HLOOKUP($A17,CHARMS!$A$6:$CQ$89,1,)</f>
        <v/>
      </c>
      <c r="C17" s="151" t="str">
        <f>_xlfn.IFNA(IF(HLOOKUP($A17,PROBAST!$A$6:$AE$77,11,)="Low RoB","+",IF(HLOOKUP($A17,PROBAST!$A$6:$AE$77,11,)="High RoB","-",IF(HLOOKUP($A17,PROBAST!$A$6:$AE$77,11,)="Unclear","?",""))),"")</f>
        <v/>
      </c>
      <c r="D17" s="152" t="str">
        <f>_xlfn.IFNA(IF(HLOOKUP($A17,PROBAST!$A$6:$AE$77,25,)="Low RoB","+",IF(HLOOKUP($A17,PROBAST!$A$6:$AE$77,25,)="High RoB","-",IF(HLOOKUP($A17,PROBAST!$A$6:$AE$77,25,)="Unclear","?",""))),"")</f>
        <v/>
      </c>
      <c r="E17" s="152" t="str">
        <f>_xlfn.IFNA(IF(HLOOKUP($A17,PROBAST!$A$6:$AE$77,39,)="Low RoB","+",IF(HLOOKUP($A17,PROBAST!$A$6:$AE$77,39,)="High RoB","-",IF(HLOOKUP($A17,PROBAST!$A$6:$AE$77,39,)="Unclear","?",""))),"")</f>
        <v/>
      </c>
      <c r="F17" s="153" t="str">
        <f>_xlfn.IFNA(IF(HLOOKUP($A17,PROBAST!$A$6:$AE$77,58,)="Low RoB","+",IF(HLOOKUP($A17,PROBAST!$A$6:$AE$77,58,)="High RoB","-",IF(HLOOKUP($A17,PROBAST!$A$6:$AE$77,58,)="Unclear","?",""))),"")</f>
        <v/>
      </c>
      <c r="G17" s="154" t="str">
        <f>_xlfn.IFNA(IF(HLOOKUP($A17,PROBAST!$A$6:$AE$77,12,)="Low concern","+",IF(HLOOKUP($A17,PROBAST!$A$6:$AE$77,12,)="High concern","-",IF(HLOOKUP($A17,PROBAST!$A$6:$AE$77,12,)="Unclear","?",""))),"")</f>
        <v/>
      </c>
      <c r="H17" s="152" t="str">
        <f>_xlfn.IFNA(IF(HLOOKUP($A17,PROBAST!$A$6:$AE$77,26,)="Low concern","+",IF(HLOOKUP($A17,PROBAST!$A$6:$AE$77,26,)="High concern","-",IF(HLOOKUP($A17,PROBAST!$A$6:$AE$77,26,)="Unclear","?",""))),"")</f>
        <v/>
      </c>
      <c r="I17" s="153" t="str">
        <f>_xlfn.IFNA(IF(HLOOKUP($A17,PROBAST!$A$6:$AE$77,40,)="Low concern","+",IF(HLOOKUP($A17,PROBAST!$A$6:$AE$77,40,)="High concern","-",IF(HLOOKUP($A17,PROBAST!$A$6:$AE$77,40,)="Unclear","?",""))),"")</f>
        <v/>
      </c>
      <c r="J17" s="155" t="str">
        <f t="shared" si="0"/>
        <v/>
      </c>
      <c r="K17" s="156" t="str">
        <f t="shared" si="1"/>
        <v/>
      </c>
      <c r="L17" s="157"/>
      <c r="M17" s="126"/>
      <c r="N17" s="126"/>
      <c r="O17" s="126"/>
      <c r="P17" s="126"/>
      <c r="Q17" s="126"/>
      <c r="R17" s="126"/>
      <c r="S17" s="126"/>
      <c r="T17" s="126"/>
      <c r="U17" s="126"/>
      <c r="V17" s="126"/>
      <c r="W17" s="126"/>
      <c r="X17" s="126"/>
      <c r="Y17" s="126"/>
      <c r="Z17" s="126"/>
      <c r="AA17" s="126"/>
      <c r="AB17" s="126"/>
      <c r="AC17" s="126"/>
      <c r="AD17" s="126"/>
      <c r="AE17" s="126"/>
      <c r="AF17" s="126"/>
      <c r="AG17" s="126"/>
      <c r="AH17" s="126"/>
    </row>
    <row r="18" spans="1:34" s="127" customFormat="1" ht="15" customHeight="1" x14ac:dyDescent="0.2">
      <c r="A18" s="127" t="str">
        <f>CHARMS!AP$6</f>
        <v/>
      </c>
      <c r="B18" s="188" t="str">
        <f>HLOOKUP($A18,CHARMS!$A$6:$CQ$89,1,)</f>
        <v/>
      </c>
      <c r="C18" s="151" t="str">
        <f>_xlfn.IFNA(IF(HLOOKUP($A18,PROBAST!$A$6:$AE$77,11,)="Low RoB","+",IF(HLOOKUP($A18,PROBAST!$A$6:$AE$77,11,)="High RoB","-",IF(HLOOKUP($A18,PROBAST!$A$6:$AE$77,11,)="Unclear","?",""))),"")</f>
        <v/>
      </c>
      <c r="D18" s="152" t="str">
        <f>_xlfn.IFNA(IF(HLOOKUP($A18,PROBAST!$A$6:$AE$77,25,)="Low RoB","+",IF(HLOOKUP($A18,PROBAST!$A$6:$AE$77,25,)="High RoB","-",IF(HLOOKUP($A18,PROBAST!$A$6:$AE$77,25,)="Unclear","?",""))),"")</f>
        <v/>
      </c>
      <c r="E18" s="152" t="str">
        <f>_xlfn.IFNA(IF(HLOOKUP($A18,PROBAST!$A$6:$AE$77,39,)="Low RoB","+",IF(HLOOKUP($A18,PROBAST!$A$6:$AE$77,39,)="High RoB","-",IF(HLOOKUP($A18,PROBAST!$A$6:$AE$77,39,)="Unclear","?",""))),"")</f>
        <v/>
      </c>
      <c r="F18" s="153" t="str">
        <f>_xlfn.IFNA(IF(HLOOKUP($A18,PROBAST!$A$6:$AE$77,58,)="Low RoB","+",IF(HLOOKUP($A18,PROBAST!$A$6:$AE$77,58,)="High RoB","-",IF(HLOOKUP($A18,PROBAST!$A$6:$AE$77,58,)="Unclear","?",""))),"")</f>
        <v/>
      </c>
      <c r="G18" s="154" t="str">
        <f>_xlfn.IFNA(IF(HLOOKUP($A18,PROBAST!$A$6:$AE$77,12,)="Low concern","+",IF(HLOOKUP($A18,PROBAST!$A$6:$AE$77,12,)="High concern","-",IF(HLOOKUP($A18,PROBAST!$A$6:$AE$77,12,)="Unclear","?",""))),"")</f>
        <v/>
      </c>
      <c r="H18" s="152" t="str">
        <f>_xlfn.IFNA(IF(HLOOKUP($A18,PROBAST!$A$6:$AE$77,26,)="Low concern","+",IF(HLOOKUP($A18,PROBAST!$A$6:$AE$77,26,)="High concern","-",IF(HLOOKUP($A18,PROBAST!$A$6:$AE$77,26,)="Unclear","?",""))),"")</f>
        <v/>
      </c>
      <c r="I18" s="153" t="str">
        <f>_xlfn.IFNA(IF(HLOOKUP($A18,PROBAST!$A$6:$AE$77,40,)="Low concern","+",IF(HLOOKUP($A18,PROBAST!$A$6:$AE$77,40,)="High concern","-",IF(HLOOKUP($A18,PROBAST!$A$6:$AE$77,40,)="Unclear","?",""))),"")</f>
        <v/>
      </c>
      <c r="J18" s="155" t="str">
        <f t="shared" si="0"/>
        <v/>
      </c>
      <c r="K18" s="156" t="str">
        <f t="shared" si="1"/>
        <v/>
      </c>
      <c r="L18" s="157"/>
      <c r="M18" s="126"/>
      <c r="N18" s="126"/>
      <c r="O18" s="126"/>
      <c r="P18" s="126"/>
      <c r="Q18" s="126"/>
      <c r="R18" s="126"/>
      <c r="S18" s="126"/>
      <c r="T18" s="126"/>
      <c r="U18" s="126"/>
      <c r="V18" s="126"/>
      <c r="W18" s="126"/>
      <c r="X18" s="126"/>
      <c r="Y18" s="126"/>
      <c r="Z18" s="126"/>
      <c r="AA18" s="126"/>
      <c r="AB18" s="126"/>
      <c r="AC18" s="126"/>
      <c r="AD18" s="126"/>
      <c r="AE18" s="126"/>
      <c r="AF18" s="126"/>
      <c r="AG18" s="126"/>
      <c r="AH18" s="126"/>
    </row>
    <row r="19" spans="1:34" s="127" customFormat="1" ht="15" customHeight="1" x14ac:dyDescent="0.2">
      <c r="A19" s="127" t="str">
        <f>CHARMS!AS$6</f>
        <v/>
      </c>
      <c r="B19" s="188" t="str">
        <f>HLOOKUP($A19,CHARMS!$A$6:$CQ$89,1,)</f>
        <v/>
      </c>
      <c r="C19" s="151" t="str">
        <f>_xlfn.IFNA(IF(HLOOKUP($A19,PROBAST!$A$6:$AE$77,11,)="Low RoB","+",IF(HLOOKUP($A19,PROBAST!$A$6:$AE$77,11,)="High RoB","-",IF(HLOOKUP($A19,PROBAST!$A$6:$AE$77,11,)="Unclear","?",""))),"")</f>
        <v/>
      </c>
      <c r="D19" s="152" t="str">
        <f>_xlfn.IFNA(IF(HLOOKUP($A19,PROBAST!$A$6:$AE$77,25,)="Low RoB","+",IF(HLOOKUP($A19,PROBAST!$A$6:$AE$77,25,)="High RoB","-",IF(HLOOKUP($A19,PROBAST!$A$6:$AE$77,25,)="Unclear","?",""))),"")</f>
        <v/>
      </c>
      <c r="E19" s="152" t="str">
        <f>_xlfn.IFNA(IF(HLOOKUP($A19,PROBAST!$A$6:$AE$77,39,)="Low RoB","+",IF(HLOOKUP($A19,PROBAST!$A$6:$AE$77,39,)="High RoB","-",IF(HLOOKUP($A19,PROBAST!$A$6:$AE$77,39,)="Unclear","?",""))),"")</f>
        <v/>
      </c>
      <c r="F19" s="153" t="str">
        <f>_xlfn.IFNA(IF(HLOOKUP($A19,PROBAST!$A$6:$AE$77,58,)="Low RoB","+",IF(HLOOKUP($A19,PROBAST!$A$6:$AE$77,58,)="High RoB","-",IF(HLOOKUP($A19,PROBAST!$A$6:$AE$77,58,)="Unclear","?",""))),"")</f>
        <v/>
      </c>
      <c r="G19" s="154" t="str">
        <f>_xlfn.IFNA(IF(HLOOKUP($A19,PROBAST!$A$6:$AE$77,12,)="Low concern","+",IF(HLOOKUP($A19,PROBAST!$A$6:$AE$77,12,)="High concern","-",IF(HLOOKUP($A19,PROBAST!$A$6:$AE$77,12,)="Unclear","?",""))),"")</f>
        <v/>
      </c>
      <c r="H19" s="152" t="str">
        <f>_xlfn.IFNA(IF(HLOOKUP($A19,PROBAST!$A$6:$AE$77,26,)="Low concern","+",IF(HLOOKUP($A19,PROBAST!$A$6:$AE$77,26,)="High concern","-",IF(HLOOKUP($A19,PROBAST!$A$6:$AE$77,26,)="Unclear","?",""))),"")</f>
        <v/>
      </c>
      <c r="I19" s="153" t="str">
        <f>_xlfn.IFNA(IF(HLOOKUP($A19,PROBAST!$A$6:$AE$77,40,)="Low concern","+",IF(HLOOKUP($A19,PROBAST!$A$6:$AE$77,40,)="High concern","-",IF(HLOOKUP($A19,PROBAST!$A$6:$AE$77,40,)="Unclear","?",""))),"")</f>
        <v/>
      </c>
      <c r="J19" s="155" t="str">
        <f t="shared" si="0"/>
        <v/>
      </c>
      <c r="K19" s="156" t="str">
        <f t="shared" si="1"/>
        <v/>
      </c>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row>
    <row r="20" spans="1:34" s="127" customFormat="1" ht="15" customHeight="1" x14ac:dyDescent="0.2">
      <c r="A20" s="127" t="str">
        <f>CHARMS!AV$6</f>
        <v/>
      </c>
      <c r="B20" s="188" t="str">
        <f>HLOOKUP($A20,CHARMS!$A$6:$CQ$89,1,)</f>
        <v/>
      </c>
      <c r="C20" s="151" t="str">
        <f>_xlfn.IFNA(IF(HLOOKUP($A20,PROBAST!$A$6:$AE$77,11,)="Low RoB","+",IF(HLOOKUP($A20,PROBAST!$A$6:$AE$77,11,)="High RoB","-",IF(HLOOKUP($A20,PROBAST!$A$6:$AE$77,11,)="Unclear","?",""))),"")</f>
        <v/>
      </c>
      <c r="D20" s="152" t="str">
        <f>_xlfn.IFNA(IF(HLOOKUP($A20,PROBAST!$A$6:$AE$77,25,)="Low RoB","+",IF(HLOOKUP($A20,PROBAST!$A$6:$AE$77,25,)="High RoB","-",IF(HLOOKUP($A20,PROBAST!$A$6:$AE$77,25,)="Unclear","?",""))),"")</f>
        <v/>
      </c>
      <c r="E20" s="152" t="str">
        <f>_xlfn.IFNA(IF(HLOOKUP($A20,PROBAST!$A$6:$AE$77,39,)="Low RoB","+",IF(HLOOKUP($A20,PROBAST!$A$6:$AE$77,39,)="High RoB","-",IF(HLOOKUP($A20,PROBAST!$A$6:$AE$77,39,)="Unclear","?",""))),"")</f>
        <v/>
      </c>
      <c r="F20" s="153" t="str">
        <f>_xlfn.IFNA(IF(HLOOKUP($A20,PROBAST!$A$6:$AE$77,58,)="Low RoB","+",IF(HLOOKUP($A20,PROBAST!$A$6:$AE$77,58,)="High RoB","-",IF(HLOOKUP($A20,PROBAST!$A$6:$AE$77,58,)="Unclear","?",""))),"")</f>
        <v/>
      </c>
      <c r="G20" s="154" t="str">
        <f>_xlfn.IFNA(IF(HLOOKUP($A20,PROBAST!$A$6:$AE$77,12,)="Low concern","+",IF(HLOOKUP($A20,PROBAST!$A$6:$AE$77,12,)="High concern","-",IF(HLOOKUP($A20,PROBAST!$A$6:$AE$77,12,)="Unclear","?",""))),"")</f>
        <v/>
      </c>
      <c r="H20" s="152" t="str">
        <f>_xlfn.IFNA(IF(HLOOKUP($A20,PROBAST!$A$6:$AE$77,26,)="Low concern","+",IF(HLOOKUP($A20,PROBAST!$A$6:$AE$77,26,)="High concern","-",IF(HLOOKUP($A20,PROBAST!$A$6:$AE$77,26,)="Unclear","?",""))),"")</f>
        <v/>
      </c>
      <c r="I20" s="153" t="str">
        <f>_xlfn.IFNA(IF(HLOOKUP($A20,PROBAST!$A$6:$AE$77,40,)="Low concern","+",IF(HLOOKUP($A20,PROBAST!$A$6:$AE$77,40,)="High concern","-",IF(HLOOKUP($A20,PROBAST!$A$6:$AE$77,40,)="Unclear","?",""))),"")</f>
        <v/>
      </c>
      <c r="J20" s="155" t="str">
        <f t="shared" si="0"/>
        <v/>
      </c>
      <c r="K20" s="156" t="str">
        <f t="shared" si="1"/>
        <v/>
      </c>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row>
    <row r="21" spans="1:34" s="127" customFormat="1" ht="15" customHeight="1" x14ac:dyDescent="0.2">
      <c r="A21" s="127" t="str">
        <f>CHARMS!AY$6</f>
        <v/>
      </c>
      <c r="B21" s="188" t="str">
        <f>HLOOKUP($A21,CHARMS!$A$6:$CQ$89,1,)</f>
        <v/>
      </c>
      <c r="C21" s="151" t="str">
        <f>_xlfn.IFNA(IF(HLOOKUP($A21,PROBAST!$A$6:$AE$77,11,)="Low RoB","+",IF(HLOOKUP($A21,PROBAST!$A$6:$AE$77,11,)="High RoB","-",IF(HLOOKUP($A21,PROBAST!$A$6:$AE$77,11,)="Unclear","?",""))),"")</f>
        <v/>
      </c>
      <c r="D21" s="152" t="str">
        <f>_xlfn.IFNA(IF(HLOOKUP($A21,PROBAST!$A$6:$AE$77,25,)="Low RoB","+",IF(HLOOKUP($A21,PROBAST!$A$6:$AE$77,25,)="High RoB","-",IF(HLOOKUP($A21,PROBAST!$A$6:$AE$77,25,)="Unclear","?",""))),"")</f>
        <v/>
      </c>
      <c r="E21" s="152" t="str">
        <f>_xlfn.IFNA(IF(HLOOKUP($A21,PROBAST!$A$6:$AE$77,39,)="Low RoB","+",IF(HLOOKUP($A21,PROBAST!$A$6:$AE$77,39,)="High RoB","-",IF(HLOOKUP($A21,PROBAST!$A$6:$AE$77,39,)="Unclear","?",""))),"")</f>
        <v/>
      </c>
      <c r="F21" s="153" t="str">
        <f>_xlfn.IFNA(IF(HLOOKUP($A21,PROBAST!$A$6:$AE$77,58,)="Low RoB","+",IF(HLOOKUP($A21,PROBAST!$A$6:$AE$77,58,)="High RoB","-",IF(HLOOKUP($A21,PROBAST!$A$6:$AE$77,58,)="Unclear","?",""))),"")</f>
        <v/>
      </c>
      <c r="G21" s="154" t="str">
        <f>_xlfn.IFNA(IF(HLOOKUP($A21,PROBAST!$A$6:$AE$77,12,)="Low concern","+",IF(HLOOKUP($A21,PROBAST!$A$6:$AE$77,12,)="High concern","-",IF(HLOOKUP($A21,PROBAST!$A$6:$AE$77,12,)="Unclear","?",""))),"")</f>
        <v/>
      </c>
      <c r="H21" s="152" t="str">
        <f>_xlfn.IFNA(IF(HLOOKUP($A21,PROBAST!$A$6:$AE$77,26,)="Low concern","+",IF(HLOOKUP($A21,PROBAST!$A$6:$AE$77,26,)="High concern","-",IF(HLOOKUP($A21,PROBAST!$A$6:$AE$77,26,)="Unclear","?",""))),"")</f>
        <v/>
      </c>
      <c r="I21" s="153" t="str">
        <f>_xlfn.IFNA(IF(HLOOKUP($A21,PROBAST!$A$6:$AE$77,40,)="Low concern","+",IF(HLOOKUP($A21,PROBAST!$A$6:$AE$77,40,)="High concern","-",IF(HLOOKUP($A21,PROBAST!$A$6:$AE$77,40,)="Unclear","?",""))),"")</f>
        <v/>
      </c>
      <c r="J21" s="155" t="str">
        <f t="shared" si="0"/>
        <v/>
      </c>
      <c r="K21" s="156" t="str">
        <f t="shared" si="1"/>
        <v/>
      </c>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row>
    <row r="22" spans="1:34" s="127" customFormat="1" ht="15" customHeight="1" x14ac:dyDescent="0.2">
      <c r="A22" s="127" t="str">
        <f>CHARMS!BB$6</f>
        <v/>
      </c>
      <c r="B22" s="188" t="str">
        <f>HLOOKUP($A22,CHARMS!$A$6:$CQ$89,1,)</f>
        <v/>
      </c>
      <c r="C22" s="151" t="str">
        <f>_xlfn.IFNA(IF(HLOOKUP($A22,PROBAST!$A$6:$AE$77,11,)="Low RoB","+",IF(HLOOKUP($A22,PROBAST!$A$6:$AE$77,11,)="High RoB","-",IF(HLOOKUP($A22,PROBAST!$A$6:$AE$77,11,)="Unclear","?",""))),"")</f>
        <v/>
      </c>
      <c r="D22" s="152" t="str">
        <f>_xlfn.IFNA(IF(HLOOKUP($A22,PROBAST!$A$6:$AE$77,25,)="Low RoB","+",IF(HLOOKUP($A22,PROBAST!$A$6:$AE$77,25,)="High RoB","-",IF(HLOOKUP($A22,PROBAST!$A$6:$AE$77,25,)="Unclear","?",""))),"")</f>
        <v/>
      </c>
      <c r="E22" s="152" t="str">
        <f>_xlfn.IFNA(IF(HLOOKUP($A22,PROBAST!$A$6:$AE$77,39,)="Low RoB","+",IF(HLOOKUP($A22,PROBAST!$A$6:$AE$77,39,)="High RoB","-",IF(HLOOKUP($A22,PROBAST!$A$6:$AE$77,39,)="Unclear","?",""))),"")</f>
        <v/>
      </c>
      <c r="F22" s="153" t="str">
        <f>_xlfn.IFNA(IF(HLOOKUP($A22,PROBAST!$A$6:$AE$77,58,)="Low RoB","+",IF(HLOOKUP($A22,PROBAST!$A$6:$AE$77,58,)="High RoB","-",IF(HLOOKUP($A22,PROBAST!$A$6:$AE$77,58,)="Unclear","?",""))),"")</f>
        <v/>
      </c>
      <c r="G22" s="154" t="str">
        <f>_xlfn.IFNA(IF(HLOOKUP($A22,PROBAST!$A$6:$AE$77,12,)="Low concern","+",IF(HLOOKUP($A22,PROBAST!$A$6:$AE$77,12,)="High concern","-",IF(HLOOKUP($A22,PROBAST!$A$6:$AE$77,12,)="Unclear","?",""))),"")</f>
        <v/>
      </c>
      <c r="H22" s="152" t="str">
        <f>_xlfn.IFNA(IF(HLOOKUP($A22,PROBAST!$A$6:$AE$77,26,)="Low concern","+",IF(HLOOKUP($A22,PROBAST!$A$6:$AE$77,26,)="High concern","-",IF(HLOOKUP($A22,PROBAST!$A$6:$AE$77,26,)="Unclear","?",""))),"")</f>
        <v/>
      </c>
      <c r="I22" s="153" t="str">
        <f>_xlfn.IFNA(IF(HLOOKUP($A22,PROBAST!$A$6:$AE$77,40,)="Low concern","+",IF(HLOOKUP($A22,PROBAST!$A$6:$AE$77,40,)="High concern","-",IF(HLOOKUP($A22,PROBAST!$A$6:$AE$77,40,)="Unclear","?",""))),"")</f>
        <v/>
      </c>
      <c r="J22" s="155" t="str">
        <f t="shared" si="0"/>
        <v/>
      </c>
      <c r="K22" s="156" t="str">
        <f t="shared" si="1"/>
        <v/>
      </c>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row>
    <row r="23" spans="1:34" s="127" customFormat="1" ht="15" customHeight="1" x14ac:dyDescent="0.2">
      <c r="A23" s="127" t="str">
        <f>CHARMS!BE$6</f>
        <v/>
      </c>
      <c r="B23" s="188" t="str">
        <f>HLOOKUP($A23,CHARMS!$A$6:$CQ$89,1,)</f>
        <v/>
      </c>
      <c r="C23" s="151" t="str">
        <f>_xlfn.IFNA(IF(HLOOKUP($A23,PROBAST!$A$6:$AE$77,11,)="Low RoB","+",IF(HLOOKUP($A23,PROBAST!$A$6:$AE$77,11,)="High RoB","-",IF(HLOOKUP($A23,PROBAST!$A$6:$AE$77,11,)="Unclear","?",""))),"")</f>
        <v/>
      </c>
      <c r="D23" s="152" t="str">
        <f>_xlfn.IFNA(IF(HLOOKUP($A23,PROBAST!$A$6:$AE$77,25,)="Low RoB","+",IF(HLOOKUP($A23,PROBAST!$A$6:$AE$77,25,)="High RoB","-",IF(HLOOKUP($A23,PROBAST!$A$6:$AE$77,25,)="Unclear","?",""))),"")</f>
        <v/>
      </c>
      <c r="E23" s="152" t="str">
        <f>_xlfn.IFNA(IF(HLOOKUP($A23,PROBAST!$A$6:$AE$77,39,)="Low RoB","+",IF(HLOOKUP($A23,PROBAST!$A$6:$AE$77,39,)="High RoB","-",IF(HLOOKUP($A23,PROBAST!$A$6:$AE$77,39,)="Unclear","?",""))),"")</f>
        <v/>
      </c>
      <c r="F23" s="153" t="str">
        <f>_xlfn.IFNA(IF(HLOOKUP($A23,PROBAST!$A$6:$AE$77,58,)="Low RoB","+",IF(HLOOKUP($A23,PROBAST!$A$6:$AE$77,58,)="High RoB","-",IF(HLOOKUP($A23,PROBAST!$A$6:$AE$77,58,)="Unclear","?",""))),"")</f>
        <v/>
      </c>
      <c r="G23" s="154" t="str">
        <f>_xlfn.IFNA(IF(HLOOKUP($A23,PROBAST!$A$6:$AE$77,12,)="Low concern","+",IF(HLOOKUP($A23,PROBAST!$A$6:$AE$77,12,)="High concern","-",IF(HLOOKUP($A23,PROBAST!$A$6:$AE$77,12,)="Unclear","?",""))),"")</f>
        <v/>
      </c>
      <c r="H23" s="152" t="str">
        <f>_xlfn.IFNA(IF(HLOOKUP($A23,PROBAST!$A$6:$AE$77,26,)="Low concern","+",IF(HLOOKUP($A23,PROBAST!$A$6:$AE$77,26,)="High concern","-",IF(HLOOKUP($A23,PROBAST!$A$6:$AE$77,26,)="Unclear","?",""))),"")</f>
        <v/>
      </c>
      <c r="I23" s="153" t="str">
        <f>_xlfn.IFNA(IF(HLOOKUP($A23,PROBAST!$A$6:$AE$77,40,)="Low concern","+",IF(HLOOKUP($A23,PROBAST!$A$6:$AE$77,40,)="High concern","-",IF(HLOOKUP($A23,PROBAST!$A$6:$AE$77,40,)="Unclear","?",""))),"")</f>
        <v/>
      </c>
      <c r="J23" s="155" t="str">
        <f t="shared" si="0"/>
        <v/>
      </c>
      <c r="K23" s="156" t="str">
        <f t="shared" si="1"/>
        <v/>
      </c>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row>
    <row r="24" spans="1:34" s="127" customFormat="1" ht="15" customHeight="1" x14ac:dyDescent="0.2">
      <c r="A24" s="127" t="str">
        <f>CHARMS!BH$6</f>
        <v/>
      </c>
      <c r="B24" s="188" t="str">
        <f>HLOOKUP($A24,CHARMS!$A$6:$CQ$89,1,)</f>
        <v/>
      </c>
      <c r="C24" s="151" t="str">
        <f>_xlfn.IFNA(IF(HLOOKUP($A24,PROBAST!$A$6:$AE$77,11,)="Low RoB","+",IF(HLOOKUP($A24,PROBAST!$A$6:$AE$77,11,)="High RoB","-",IF(HLOOKUP($A24,PROBAST!$A$6:$AE$77,11,)="Unclear","?",""))),"")</f>
        <v/>
      </c>
      <c r="D24" s="152" t="str">
        <f>_xlfn.IFNA(IF(HLOOKUP($A24,PROBAST!$A$6:$AE$77,25,)="Low RoB","+",IF(HLOOKUP($A24,PROBAST!$A$6:$AE$77,25,)="High RoB","-",IF(HLOOKUP($A24,PROBAST!$A$6:$AE$77,25,)="Unclear","?",""))),"")</f>
        <v/>
      </c>
      <c r="E24" s="152" t="str">
        <f>_xlfn.IFNA(IF(HLOOKUP($A24,PROBAST!$A$6:$AE$77,39,)="Low RoB","+",IF(HLOOKUP($A24,PROBAST!$A$6:$AE$77,39,)="High RoB","-",IF(HLOOKUP($A24,PROBAST!$A$6:$AE$77,39,)="Unclear","?",""))),"")</f>
        <v/>
      </c>
      <c r="F24" s="153" t="str">
        <f>_xlfn.IFNA(IF(HLOOKUP($A24,PROBAST!$A$6:$AE$77,58,)="Low RoB","+",IF(HLOOKUP($A24,PROBAST!$A$6:$AE$77,58,)="High RoB","-",IF(HLOOKUP($A24,PROBAST!$A$6:$AE$77,58,)="Unclear","?",""))),"")</f>
        <v/>
      </c>
      <c r="G24" s="154" t="str">
        <f>_xlfn.IFNA(IF(HLOOKUP($A24,PROBAST!$A$6:$AE$77,12,)="Low concern","+",IF(HLOOKUP($A24,PROBAST!$A$6:$AE$77,12,)="High concern","-",IF(HLOOKUP($A24,PROBAST!$A$6:$AE$77,12,)="Unclear","?",""))),"")</f>
        <v/>
      </c>
      <c r="H24" s="152" t="str">
        <f>_xlfn.IFNA(IF(HLOOKUP($A24,PROBAST!$A$6:$AE$77,26,)="Low concern","+",IF(HLOOKUP($A24,PROBAST!$A$6:$AE$77,26,)="High concern","-",IF(HLOOKUP($A24,PROBAST!$A$6:$AE$77,26,)="Unclear","?",""))),"")</f>
        <v/>
      </c>
      <c r="I24" s="153" t="str">
        <f>_xlfn.IFNA(IF(HLOOKUP($A24,PROBAST!$A$6:$AE$77,40,)="Low concern","+",IF(HLOOKUP($A24,PROBAST!$A$6:$AE$77,40,)="High concern","-",IF(HLOOKUP($A24,PROBAST!$A$6:$AE$77,40,)="Unclear","?",""))),"")</f>
        <v/>
      </c>
      <c r="J24" s="155" t="str">
        <f t="shared" si="0"/>
        <v/>
      </c>
      <c r="K24" s="156" t="str">
        <f t="shared" si="1"/>
        <v/>
      </c>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row>
    <row r="25" spans="1:34" s="127" customFormat="1" ht="15" customHeight="1" x14ac:dyDescent="0.2">
      <c r="A25" s="127" t="str">
        <f>CHARMS!BK$6</f>
        <v/>
      </c>
      <c r="B25" s="188" t="str">
        <f>HLOOKUP($A25,CHARMS!$A$6:$CQ$89,1,)</f>
        <v/>
      </c>
      <c r="C25" s="151" t="str">
        <f>_xlfn.IFNA(IF(HLOOKUP($A25,PROBAST!$A$6:$AE$77,11,)="Low RoB","+",IF(HLOOKUP($A25,PROBAST!$A$6:$AE$77,11,)="High RoB","-",IF(HLOOKUP($A25,PROBAST!$A$6:$AE$77,11,)="Unclear","?",""))),"")</f>
        <v/>
      </c>
      <c r="D25" s="152" t="str">
        <f>_xlfn.IFNA(IF(HLOOKUP($A25,PROBAST!$A$6:$AE$77,25,)="Low RoB","+",IF(HLOOKUP($A25,PROBAST!$A$6:$AE$77,25,)="High RoB","-",IF(HLOOKUP($A25,PROBAST!$A$6:$AE$77,25,)="Unclear","?",""))),"")</f>
        <v/>
      </c>
      <c r="E25" s="152" t="str">
        <f>_xlfn.IFNA(IF(HLOOKUP($A25,PROBAST!$A$6:$AE$77,39,)="Low RoB","+",IF(HLOOKUP($A25,PROBAST!$A$6:$AE$77,39,)="High RoB","-",IF(HLOOKUP($A25,PROBAST!$A$6:$AE$77,39,)="Unclear","?",""))),"")</f>
        <v/>
      </c>
      <c r="F25" s="153" t="str">
        <f>_xlfn.IFNA(IF(HLOOKUP($A25,PROBAST!$A$6:$AE$77,58,)="Low RoB","+",IF(HLOOKUP($A25,PROBAST!$A$6:$AE$77,58,)="High RoB","-",IF(HLOOKUP($A25,PROBAST!$A$6:$AE$77,58,)="Unclear","?",""))),"")</f>
        <v/>
      </c>
      <c r="G25" s="154" t="str">
        <f>_xlfn.IFNA(IF(HLOOKUP($A25,PROBAST!$A$6:$AE$77,12,)="Low concern","+",IF(HLOOKUP($A25,PROBAST!$A$6:$AE$77,12,)="High concern","-",IF(HLOOKUP($A25,PROBAST!$A$6:$AE$77,12,)="Unclear","?",""))),"")</f>
        <v/>
      </c>
      <c r="H25" s="152" t="str">
        <f>_xlfn.IFNA(IF(HLOOKUP($A25,PROBAST!$A$6:$AE$77,26,)="Low concern","+",IF(HLOOKUP($A25,PROBAST!$A$6:$AE$77,26,)="High concern","-",IF(HLOOKUP($A25,PROBAST!$A$6:$AE$77,26,)="Unclear","?",""))),"")</f>
        <v/>
      </c>
      <c r="I25" s="153" t="str">
        <f>_xlfn.IFNA(IF(HLOOKUP($A25,PROBAST!$A$6:$AE$77,40,)="Low concern","+",IF(HLOOKUP($A25,PROBAST!$A$6:$AE$77,40,)="High concern","-",IF(HLOOKUP($A25,PROBAST!$A$6:$AE$77,40,)="Unclear","?",""))),"")</f>
        <v/>
      </c>
      <c r="J25" s="155" t="str">
        <f t="shared" si="0"/>
        <v/>
      </c>
      <c r="K25" s="156" t="str">
        <f t="shared" si="1"/>
        <v/>
      </c>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row>
    <row r="26" spans="1:34" s="127" customFormat="1" ht="15" customHeight="1" x14ac:dyDescent="0.2">
      <c r="A26" s="127" t="str">
        <f>CHARMS!BN$6</f>
        <v/>
      </c>
      <c r="B26" s="188" t="str">
        <f>HLOOKUP($A26,CHARMS!$A$6:$CQ$89,1,)</f>
        <v/>
      </c>
      <c r="C26" s="151" t="str">
        <f>_xlfn.IFNA(IF(HLOOKUP($A26,PROBAST!$A$6:$AE$77,11,)="Low RoB","+",IF(HLOOKUP($A26,PROBAST!$A$6:$AE$77,11,)="High RoB","-",IF(HLOOKUP($A26,PROBAST!$A$6:$AE$77,11,)="Unclear","?",""))),"")</f>
        <v/>
      </c>
      <c r="D26" s="152" t="str">
        <f>_xlfn.IFNA(IF(HLOOKUP($A26,PROBAST!$A$6:$AE$77,25,)="Low RoB","+",IF(HLOOKUP($A26,PROBAST!$A$6:$AE$77,25,)="High RoB","-",IF(HLOOKUP($A26,PROBAST!$A$6:$AE$77,25,)="Unclear","?",""))),"")</f>
        <v/>
      </c>
      <c r="E26" s="152" t="str">
        <f>_xlfn.IFNA(IF(HLOOKUP($A26,PROBAST!$A$6:$AE$77,39,)="Low RoB","+",IF(HLOOKUP($A26,PROBAST!$A$6:$AE$77,39,)="High RoB","-",IF(HLOOKUP($A26,PROBAST!$A$6:$AE$77,39,)="Unclear","?",""))),"")</f>
        <v/>
      </c>
      <c r="F26" s="153" t="str">
        <f>_xlfn.IFNA(IF(HLOOKUP($A26,PROBAST!$A$6:$AE$77,58,)="Low RoB","+",IF(HLOOKUP($A26,PROBAST!$A$6:$AE$77,58,)="High RoB","-",IF(HLOOKUP($A26,PROBAST!$A$6:$AE$77,58,)="Unclear","?",""))),"")</f>
        <v/>
      </c>
      <c r="G26" s="154" t="str">
        <f>_xlfn.IFNA(IF(HLOOKUP($A26,PROBAST!$A$6:$AE$77,12,)="Low concern","+",IF(HLOOKUP($A26,PROBAST!$A$6:$AE$77,12,)="High concern","-",IF(HLOOKUP($A26,PROBAST!$A$6:$AE$77,12,)="Unclear","?",""))),"")</f>
        <v/>
      </c>
      <c r="H26" s="152" t="str">
        <f>_xlfn.IFNA(IF(HLOOKUP($A26,PROBAST!$A$6:$AE$77,26,)="Low concern","+",IF(HLOOKUP($A26,PROBAST!$A$6:$AE$77,26,)="High concern","-",IF(HLOOKUP($A26,PROBAST!$A$6:$AE$77,26,)="Unclear","?",""))),"")</f>
        <v/>
      </c>
      <c r="I26" s="153" t="str">
        <f>_xlfn.IFNA(IF(HLOOKUP($A26,PROBAST!$A$6:$AE$77,40,)="Low concern","+",IF(HLOOKUP($A26,PROBAST!$A$6:$AE$77,40,)="High concern","-",IF(HLOOKUP($A26,PROBAST!$A$6:$AE$77,40,)="Unclear","?",""))),"")</f>
        <v/>
      </c>
      <c r="J26" s="155" t="str">
        <f t="shared" si="0"/>
        <v/>
      </c>
      <c r="K26" s="156" t="str">
        <f t="shared" si="1"/>
        <v/>
      </c>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row>
    <row r="27" spans="1:34" s="127" customFormat="1" ht="15" customHeight="1" x14ac:dyDescent="0.2">
      <c r="A27" s="127" t="str">
        <f>CHARMS!BQ$6</f>
        <v/>
      </c>
      <c r="B27" s="188" t="str">
        <f>HLOOKUP($A27,CHARMS!$A$6:$CQ$89,1,)</f>
        <v/>
      </c>
      <c r="C27" s="151" t="str">
        <f>_xlfn.IFNA(IF(HLOOKUP($A27,PROBAST!$A$6:$AE$77,11,)="Low RoB","+",IF(HLOOKUP($A27,PROBAST!$A$6:$AE$77,11,)="High RoB","-",IF(HLOOKUP($A27,PROBAST!$A$6:$AE$77,11,)="Unclear","?",""))),"")</f>
        <v/>
      </c>
      <c r="D27" s="152" t="str">
        <f>_xlfn.IFNA(IF(HLOOKUP($A27,PROBAST!$A$6:$AE$77,25,)="Low RoB","+",IF(HLOOKUP($A27,PROBAST!$A$6:$AE$77,25,)="High RoB","-",IF(HLOOKUP($A27,PROBAST!$A$6:$AE$77,25,)="Unclear","?",""))),"")</f>
        <v/>
      </c>
      <c r="E27" s="152" t="str">
        <f>_xlfn.IFNA(IF(HLOOKUP($A27,PROBAST!$A$6:$AE$77,39,)="Low RoB","+",IF(HLOOKUP($A27,PROBAST!$A$6:$AE$77,39,)="High RoB","-",IF(HLOOKUP($A27,PROBAST!$A$6:$AE$77,39,)="Unclear","?",""))),"")</f>
        <v/>
      </c>
      <c r="F27" s="153" t="str">
        <f>_xlfn.IFNA(IF(HLOOKUP($A27,PROBAST!$A$6:$AE$77,58,)="Low RoB","+",IF(HLOOKUP($A27,PROBAST!$A$6:$AE$77,58,)="High RoB","-",IF(HLOOKUP($A27,PROBAST!$A$6:$AE$77,58,)="Unclear","?",""))),"")</f>
        <v/>
      </c>
      <c r="G27" s="154" t="str">
        <f>_xlfn.IFNA(IF(HLOOKUP($A27,PROBAST!$A$6:$AE$77,12,)="Low concern","+",IF(HLOOKUP($A27,PROBAST!$A$6:$AE$77,12,)="High concern","-",IF(HLOOKUP($A27,PROBAST!$A$6:$AE$77,12,)="Unclear","?",""))),"")</f>
        <v/>
      </c>
      <c r="H27" s="152" t="str">
        <f>_xlfn.IFNA(IF(HLOOKUP($A27,PROBAST!$A$6:$AE$77,26,)="Low concern","+",IF(HLOOKUP($A27,PROBAST!$A$6:$AE$77,26,)="High concern","-",IF(HLOOKUP($A27,PROBAST!$A$6:$AE$77,26,)="Unclear","?",""))),"")</f>
        <v/>
      </c>
      <c r="I27" s="153" t="str">
        <f>_xlfn.IFNA(IF(HLOOKUP($A27,PROBAST!$A$6:$AE$77,40,)="Low concern","+",IF(HLOOKUP($A27,PROBAST!$A$6:$AE$77,40,)="High concern","-",IF(HLOOKUP($A27,PROBAST!$A$6:$AE$77,40,)="Unclear","?",""))),"")</f>
        <v/>
      </c>
      <c r="J27" s="155" t="str">
        <f t="shared" si="0"/>
        <v/>
      </c>
      <c r="K27" s="156" t="str">
        <f t="shared" si="1"/>
        <v/>
      </c>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row>
    <row r="28" spans="1:34" s="127" customFormat="1" ht="15" customHeight="1" x14ac:dyDescent="0.2">
      <c r="A28" s="127" t="str">
        <f>CHARMS!BT$6</f>
        <v/>
      </c>
      <c r="B28" s="188" t="str">
        <f>HLOOKUP($A28,CHARMS!$A$6:$CQ$89,1,)</f>
        <v/>
      </c>
      <c r="C28" s="151" t="str">
        <f>_xlfn.IFNA(IF(HLOOKUP($A28,PROBAST!$A$6:$AE$77,11,)="Low RoB","+",IF(HLOOKUP($A28,PROBAST!$A$6:$AE$77,11,)="High RoB","-",IF(HLOOKUP($A28,PROBAST!$A$6:$AE$77,11,)="Unclear","?",""))),"")</f>
        <v/>
      </c>
      <c r="D28" s="152" t="str">
        <f>_xlfn.IFNA(IF(HLOOKUP($A28,PROBAST!$A$6:$AE$77,25,)="Low RoB","+",IF(HLOOKUP($A28,PROBAST!$A$6:$AE$77,25,)="High RoB","-",IF(HLOOKUP($A28,PROBAST!$A$6:$AE$77,25,)="Unclear","?",""))),"")</f>
        <v/>
      </c>
      <c r="E28" s="152" t="str">
        <f>_xlfn.IFNA(IF(HLOOKUP($A28,PROBAST!$A$6:$AE$77,39,)="Low RoB","+",IF(HLOOKUP($A28,PROBAST!$A$6:$AE$77,39,)="High RoB","-",IF(HLOOKUP($A28,PROBAST!$A$6:$AE$77,39,)="Unclear","?",""))),"")</f>
        <v/>
      </c>
      <c r="F28" s="153" t="str">
        <f>_xlfn.IFNA(IF(HLOOKUP($A28,PROBAST!$A$6:$AE$77,58,)="Low RoB","+",IF(HLOOKUP($A28,PROBAST!$A$6:$AE$77,58,)="High RoB","-",IF(HLOOKUP($A28,PROBAST!$A$6:$AE$77,58,)="Unclear","?",""))),"")</f>
        <v/>
      </c>
      <c r="G28" s="154" t="str">
        <f>_xlfn.IFNA(IF(HLOOKUP($A28,PROBAST!$A$6:$AE$77,12,)="Low concern","+",IF(HLOOKUP($A28,PROBAST!$A$6:$AE$77,12,)="High concern","-",IF(HLOOKUP($A28,PROBAST!$A$6:$AE$77,12,)="Unclear","?",""))),"")</f>
        <v/>
      </c>
      <c r="H28" s="152" t="str">
        <f>_xlfn.IFNA(IF(HLOOKUP($A28,PROBAST!$A$6:$AE$77,26,)="Low concern","+",IF(HLOOKUP($A28,PROBAST!$A$6:$AE$77,26,)="High concern","-",IF(HLOOKUP($A28,PROBAST!$A$6:$AE$77,26,)="Unclear","?",""))),"")</f>
        <v/>
      </c>
      <c r="I28" s="153" t="str">
        <f>_xlfn.IFNA(IF(HLOOKUP($A28,PROBAST!$A$6:$AE$77,40,)="Low concern","+",IF(HLOOKUP($A28,PROBAST!$A$6:$AE$77,40,)="High concern","-",IF(HLOOKUP($A28,PROBAST!$A$6:$AE$77,40,)="Unclear","?",""))),"")</f>
        <v/>
      </c>
      <c r="J28" s="155" t="str">
        <f t="shared" si="0"/>
        <v/>
      </c>
      <c r="K28" s="156" t="str">
        <f t="shared" si="1"/>
        <v/>
      </c>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row>
    <row r="29" spans="1:34" s="127" customFormat="1" ht="15" customHeight="1" x14ac:dyDescent="0.2">
      <c r="A29" s="127" t="str">
        <f>CHARMS!BW$6</f>
        <v/>
      </c>
      <c r="B29" s="188" t="str">
        <f>HLOOKUP($A29,CHARMS!$A$6:$CQ$89,1,)</f>
        <v/>
      </c>
      <c r="C29" s="151" t="str">
        <f>_xlfn.IFNA(IF(HLOOKUP($A29,PROBAST!$A$6:$AE$77,11,)="Low RoB","+",IF(HLOOKUP($A29,PROBAST!$A$6:$AE$77,11,)="High RoB","-",IF(HLOOKUP($A29,PROBAST!$A$6:$AE$77,11,)="Unclear","?",""))),"")</f>
        <v/>
      </c>
      <c r="D29" s="152" t="str">
        <f>_xlfn.IFNA(IF(HLOOKUP($A29,PROBAST!$A$6:$AE$77,25,)="Low RoB","+",IF(HLOOKUP($A29,PROBAST!$A$6:$AE$77,25,)="High RoB","-",IF(HLOOKUP($A29,PROBAST!$A$6:$AE$77,25,)="Unclear","?",""))),"")</f>
        <v/>
      </c>
      <c r="E29" s="152" t="str">
        <f>_xlfn.IFNA(IF(HLOOKUP($A29,PROBAST!$A$6:$AE$77,39,)="Low RoB","+",IF(HLOOKUP($A29,PROBAST!$A$6:$AE$77,39,)="High RoB","-",IF(HLOOKUP($A29,PROBAST!$A$6:$AE$77,39,)="Unclear","?",""))),"")</f>
        <v/>
      </c>
      <c r="F29" s="153" t="str">
        <f>_xlfn.IFNA(IF(HLOOKUP($A29,PROBAST!$A$6:$AE$77,58,)="Low RoB","+",IF(HLOOKUP($A29,PROBAST!$A$6:$AE$77,58,)="High RoB","-",IF(HLOOKUP($A29,PROBAST!$A$6:$AE$77,58,)="Unclear","?",""))),"")</f>
        <v/>
      </c>
      <c r="G29" s="154" t="str">
        <f>_xlfn.IFNA(IF(HLOOKUP($A29,PROBAST!$A$6:$AE$77,12,)="Low concern","+",IF(HLOOKUP($A29,PROBAST!$A$6:$AE$77,12,)="High concern","-",IF(HLOOKUP($A29,PROBAST!$A$6:$AE$77,12,)="Unclear","?",""))),"")</f>
        <v/>
      </c>
      <c r="H29" s="152" t="str">
        <f>_xlfn.IFNA(IF(HLOOKUP($A29,PROBAST!$A$6:$AE$77,26,)="Low concern","+",IF(HLOOKUP($A29,PROBAST!$A$6:$AE$77,26,)="High concern","-",IF(HLOOKUP($A29,PROBAST!$A$6:$AE$77,26,)="Unclear","?",""))),"")</f>
        <v/>
      </c>
      <c r="I29" s="153" t="str">
        <f>_xlfn.IFNA(IF(HLOOKUP($A29,PROBAST!$A$6:$AE$77,40,)="Low concern","+",IF(HLOOKUP($A29,PROBAST!$A$6:$AE$77,40,)="High concern","-",IF(HLOOKUP($A29,PROBAST!$A$6:$AE$77,40,)="Unclear","?",""))),"")</f>
        <v/>
      </c>
      <c r="J29" s="155" t="str">
        <f t="shared" si="0"/>
        <v/>
      </c>
      <c r="K29" s="156" t="str">
        <f t="shared" si="1"/>
        <v/>
      </c>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row>
    <row r="30" spans="1:34" s="127" customFormat="1" ht="15" customHeight="1" x14ac:dyDescent="0.2">
      <c r="A30" s="127" t="str">
        <f>CHARMS!BZ$6</f>
        <v/>
      </c>
      <c r="B30" s="188" t="str">
        <f>HLOOKUP($A30,CHARMS!$A$6:$CQ$89,1,)</f>
        <v/>
      </c>
      <c r="C30" s="151" t="str">
        <f>_xlfn.IFNA(IF(HLOOKUP($A30,PROBAST!$A$6:$AE$77,11,)="Low RoB","+",IF(HLOOKUP($A30,PROBAST!$A$6:$AE$77,11,)="High RoB","-",IF(HLOOKUP($A30,PROBAST!$A$6:$AE$77,11,)="Unclear","?",""))),"")</f>
        <v/>
      </c>
      <c r="D30" s="152" t="str">
        <f>_xlfn.IFNA(IF(HLOOKUP($A30,PROBAST!$A$6:$AE$77,25,)="Low RoB","+",IF(HLOOKUP($A30,PROBAST!$A$6:$AE$77,25,)="High RoB","-",IF(HLOOKUP($A30,PROBAST!$A$6:$AE$77,25,)="Unclear","?",""))),"")</f>
        <v/>
      </c>
      <c r="E30" s="152" t="str">
        <f>_xlfn.IFNA(IF(HLOOKUP($A30,PROBAST!$A$6:$AE$77,39,)="Low RoB","+",IF(HLOOKUP($A30,PROBAST!$A$6:$AE$77,39,)="High RoB","-",IF(HLOOKUP($A30,PROBAST!$A$6:$AE$77,39,)="Unclear","?",""))),"")</f>
        <v/>
      </c>
      <c r="F30" s="153" t="str">
        <f>_xlfn.IFNA(IF(HLOOKUP($A30,PROBAST!$A$6:$AE$77,58,)="Low RoB","+",IF(HLOOKUP($A30,PROBAST!$A$6:$AE$77,58,)="High RoB","-",IF(HLOOKUP($A30,PROBAST!$A$6:$AE$77,58,)="Unclear","?",""))),"")</f>
        <v/>
      </c>
      <c r="G30" s="154" t="str">
        <f>_xlfn.IFNA(IF(HLOOKUP($A30,PROBAST!$A$6:$AE$77,12,)="Low concern","+",IF(HLOOKUP($A30,PROBAST!$A$6:$AE$77,12,)="High concern","-",IF(HLOOKUP($A30,PROBAST!$A$6:$AE$77,12,)="Unclear","?",""))),"")</f>
        <v/>
      </c>
      <c r="H30" s="152" t="str">
        <f>_xlfn.IFNA(IF(HLOOKUP($A30,PROBAST!$A$6:$AE$77,26,)="Low concern","+",IF(HLOOKUP($A30,PROBAST!$A$6:$AE$77,26,)="High concern","-",IF(HLOOKUP($A30,PROBAST!$A$6:$AE$77,26,)="Unclear","?",""))),"")</f>
        <v/>
      </c>
      <c r="I30" s="153" t="str">
        <f>_xlfn.IFNA(IF(HLOOKUP($A30,PROBAST!$A$6:$AE$77,40,)="Low concern","+",IF(HLOOKUP($A30,PROBAST!$A$6:$AE$77,40,)="High concern","-",IF(HLOOKUP($A30,PROBAST!$A$6:$AE$77,40,)="Unclear","?",""))),"")</f>
        <v/>
      </c>
      <c r="J30" s="155" t="str">
        <f t="shared" si="0"/>
        <v/>
      </c>
      <c r="K30" s="156" t="str">
        <f t="shared" si="1"/>
        <v/>
      </c>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row>
    <row r="31" spans="1:34" s="127" customFormat="1" ht="15" customHeight="1" x14ac:dyDescent="0.2">
      <c r="A31" s="127" t="str">
        <f>CHARMS!CC$6</f>
        <v/>
      </c>
      <c r="B31" s="188" t="str">
        <f>HLOOKUP($A31,CHARMS!$A$6:$CQ$89,1,)</f>
        <v/>
      </c>
      <c r="C31" s="151" t="str">
        <f>_xlfn.IFNA(IF(HLOOKUP($A31,PROBAST!$A$6:$AE$77,11,)="Low RoB","+",IF(HLOOKUP($A31,PROBAST!$A$6:$AE$77,11,)="High RoB","-",IF(HLOOKUP($A31,PROBAST!$A$6:$AE$77,11,)="Unclear","?",""))),"")</f>
        <v/>
      </c>
      <c r="D31" s="152" t="str">
        <f>_xlfn.IFNA(IF(HLOOKUP($A31,PROBAST!$A$6:$AE$77,25,)="Low RoB","+",IF(HLOOKUP($A31,PROBAST!$A$6:$AE$77,25,)="High RoB","-",IF(HLOOKUP($A31,PROBAST!$A$6:$AE$77,25,)="Unclear","?",""))),"")</f>
        <v/>
      </c>
      <c r="E31" s="152" t="str">
        <f>_xlfn.IFNA(IF(HLOOKUP($A31,PROBAST!$A$6:$AE$77,39,)="Low RoB","+",IF(HLOOKUP($A31,PROBAST!$A$6:$AE$77,39,)="High RoB","-",IF(HLOOKUP($A31,PROBAST!$A$6:$AE$77,39,)="Unclear","?",""))),"")</f>
        <v/>
      </c>
      <c r="F31" s="153" t="str">
        <f>_xlfn.IFNA(IF(HLOOKUP($A31,PROBAST!$A$6:$AE$77,58,)="Low RoB","+",IF(HLOOKUP($A31,PROBAST!$A$6:$AE$77,58,)="High RoB","-",IF(HLOOKUP($A31,PROBAST!$A$6:$AE$77,58,)="Unclear","?",""))),"")</f>
        <v/>
      </c>
      <c r="G31" s="154" t="str">
        <f>_xlfn.IFNA(IF(HLOOKUP($A31,PROBAST!$A$6:$AE$77,12,)="Low concern","+",IF(HLOOKUP($A31,PROBAST!$A$6:$AE$77,12,)="High concern","-",IF(HLOOKUP($A31,PROBAST!$A$6:$AE$77,12,)="Unclear","?",""))),"")</f>
        <v/>
      </c>
      <c r="H31" s="152" t="str">
        <f>_xlfn.IFNA(IF(HLOOKUP($A31,PROBAST!$A$6:$AE$77,26,)="Low concern","+",IF(HLOOKUP($A31,PROBAST!$A$6:$AE$77,26,)="High concern","-",IF(HLOOKUP($A31,PROBAST!$A$6:$AE$77,26,)="Unclear","?",""))),"")</f>
        <v/>
      </c>
      <c r="I31" s="153" t="str">
        <f>_xlfn.IFNA(IF(HLOOKUP($A31,PROBAST!$A$6:$AE$77,40,)="Low concern","+",IF(HLOOKUP($A31,PROBAST!$A$6:$AE$77,40,)="High concern","-",IF(HLOOKUP($A31,PROBAST!$A$6:$AE$77,40,)="Unclear","?",""))),"")</f>
        <v/>
      </c>
      <c r="J31" s="155" t="str">
        <f t="shared" si="0"/>
        <v/>
      </c>
      <c r="K31" s="156" t="str">
        <f t="shared" si="1"/>
        <v/>
      </c>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row>
    <row r="32" spans="1:34" s="127" customFormat="1" ht="15" customHeight="1" x14ac:dyDescent="0.2">
      <c r="A32" s="127" t="str">
        <f>CHARMS!CF$6</f>
        <v/>
      </c>
      <c r="B32" s="188" t="str">
        <f>HLOOKUP($A32,CHARMS!$A$6:$CQ$89,1,)</f>
        <v/>
      </c>
      <c r="C32" s="151" t="str">
        <f>_xlfn.IFNA(IF(HLOOKUP($A32,PROBAST!$A$6:$AE$77,11,)="Low RoB","+",IF(HLOOKUP($A32,PROBAST!$A$6:$AE$77,11,)="High RoB","-",IF(HLOOKUP($A32,PROBAST!$A$6:$AE$77,11,)="Unclear","?",""))),"")</f>
        <v/>
      </c>
      <c r="D32" s="152" t="str">
        <f>_xlfn.IFNA(IF(HLOOKUP($A32,PROBAST!$A$6:$AE$77,25,)="Low RoB","+",IF(HLOOKUP($A32,PROBAST!$A$6:$AE$77,25,)="High RoB","-",IF(HLOOKUP($A32,PROBAST!$A$6:$AE$77,25,)="Unclear","?",""))),"")</f>
        <v/>
      </c>
      <c r="E32" s="152" t="str">
        <f>_xlfn.IFNA(IF(HLOOKUP($A32,PROBAST!$A$6:$AE$77,39,)="Low RoB","+",IF(HLOOKUP($A32,PROBAST!$A$6:$AE$77,39,)="High RoB","-",IF(HLOOKUP($A32,PROBAST!$A$6:$AE$77,39,)="Unclear","?",""))),"")</f>
        <v/>
      </c>
      <c r="F32" s="153" t="str">
        <f>_xlfn.IFNA(IF(HLOOKUP($A32,PROBAST!$A$6:$AE$77,58,)="Low RoB","+",IF(HLOOKUP($A32,PROBAST!$A$6:$AE$77,58,)="High RoB","-",IF(HLOOKUP($A32,PROBAST!$A$6:$AE$77,58,)="Unclear","?",""))),"")</f>
        <v/>
      </c>
      <c r="G32" s="154" t="str">
        <f>_xlfn.IFNA(IF(HLOOKUP($A32,PROBAST!$A$6:$AE$77,12,)="Low concern","+",IF(HLOOKUP($A32,PROBAST!$A$6:$AE$77,12,)="High concern","-",IF(HLOOKUP($A32,PROBAST!$A$6:$AE$77,12,)="Unclear","?",""))),"")</f>
        <v/>
      </c>
      <c r="H32" s="152" t="str">
        <f>_xlfn.IFNA(IF(HLOOKUP($A32,PROBAST!$A$6:$AE$77,26,)="Low concern","+",IF(HLOOKUP($A32,PROBAST!$A$6:$AE$77,26,)="High concern","-",IF(HLOOKUP($A32,PROBAST!$A$6:$AE$77,26,)="Unclear","?",""))),"")</f>
        <v/>
      </c>
      <c r="I32" s="153" t="str">
        <f>_xlfn.IFNA(IF(HLOOKUP($A32,PROBAST!$A$6:$AE$77,40,)="Low concern","+",IF(HLOOKUP($A32,PROBAST!$A$6:$AE$77,40,)="High concern","-",IF(HLOOKUP($A32,PROBAST!$A$6:$AE$77,40,)="Unclear","?",""))),"")</f>
        <v/>
      </c>
      <c r="J32" s="155" t="str">
        <f t="shared" si="0"/>
        <v/>
      </c>
      <c r="K32" s="156" t="str">
        <f t="shared" si="1"/>
        <v/>
      </c>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row>
    <row r="33" spans="1:34" s="127" customFormat="1" ht="15" customHeight="1" x14ac:dyDescent="0.2">
      <c r="A33" s="127" t="str">
        <f>CHARMS!CI$6</f>
        <v/>
      </c>
      <c r="B33" s="188" t="str">
        <f>HLOOKUP($A33,CHARMS!$A$6:$CQ$89,1,)</f>
        <v/>
      </c>
      <c r="C33" s="151" t="str">
        <f>_xlfn.IFNA(IF(HLOOKUP($A33,PROBAST!$A$6:$AE$77,11,)="Low RoB","+",IF(HLOOKUP($A33,PROBAST!$A$6:$AE$77,11,)="High RoB","-",IF(HLOOKUP($A33,PROBAST!$A$6:$AE$77,11,)="Unclear","?",""))),"")</f>
        <v/>
      </c>
      <c r="D33" s="152" t="str">
        <f>_xlfn.IFNA(IF(HLOOKUP($A33,PROBAST!$A$6:$AE$77,25,)="Low RoB","+",IF(HLOOKUP($A33,PROBAST!$A$6:$AE$77,25,)="High RoB","-",IF(HLOOKUP($A33,PROBAST!$A$6:$AE$77,25,)="Unclear","?",""))),"")</f>
        <v/>
      </c>
      <c r="E33" s="152" t="str">
        <f>_xlfn.IFNA(IF(HLOOKUP($A33,PROBAST!$A$6:$AE$77,39,)="Low RoB","+",IF(HLOOKUP($A33,PROBAST!$A$6:$AE$77,39,)="High RoB","-",IF(HLOOKUP($A33,PROBAST!$A$6:$AE$77,39,)="Unclear","?",""))),"")</f>
        <v/>
      </c>
      <c r="F33" s="153" t="str">
        <f>_xlfn.IFNA(IF(HLOOKUP($A33,PROBAST!$A$6:$AE$77,58,)="Low RoB","+",IF(HLOOKUP($A33,PROBAST!$A$6:$AE$77,58,)="High RoB","-",IF(HLOOKUP($A33,PROBAST!$A$6:$AE$77,58,)="Unclear","?",""))),"")</f>
        <v/>
      </c>
      <c r="G33" s="154" t="str">
        <f>_xlfn.IFNA(IF(HLOOKUP($A33,PROBAST!$A$6:$AE$77,12,)="Low concern","+",IF(HLOOKUP($A33,PROBAST!$A$6:$AE$77,12,)="High concern","-",IF(HLOOKUP($A33,PROBAST!$A$6:$AE$77,12,)="Unclear","?",""))),"")</f>
        <v/>
      </c>
      <c r="H33" s="152" t="str">
        <f>_xlfn.IFNA(IF(HLOOKUP($A33,PROBAST!$A$6:$AE$77,26,)="Low concern","+",IF(HLOOKUP($A33,PROBAST!$A$6:$AE$77,26,)="High concern","-",IF(HLOOKUP($A33,PROBAST!$A$6:$AE$77,26,)="Unclear","?",""))),"")</f>
        <v/>
      </c>
      <c r="I33" s="153" t="str">
        <f>_xlfn.IFNA(IF(HLOOKUP($A33,PROBAST!$A$6:$AE$77,40,)="Low concern","+",IF(HLOOKUP($A33,PROBAST!$A$6:$AE$77,40,)="High concern","-",IF(HLOOKUP($A33,PROBAST!$A$6:$AE$77,40,)="Unclear","?",""))),"")</f>
        <v/>
      </c>
      <c r="J33" s="155" t="str">
        <f t="shared" si="0"/>
        <v/>
      </c>
      <c r="K33" s="156" t="str">
        <f t="shared" si="1"/>
        <v/>
      </c>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row>
    <row r="34" spans="1:34" s="127" customFormat="1" ht="15" customHeight="1" x14ac:dyDescent="0.2">
      <c r="A34" s="127" t="str">
        <f>CHARMS!CL$6</f>
        <v/>
      </c>
      <c r="B34" s="188" t="str">
        <f>HLOOKUP($A34,CHARMS!$A$6:$CQ$89,1,)</f>
        <v/>
      </c>
      <c r="C34" s="151" t="str">
        <f>_xlfn.IFNA(IF(HLOOKUP($A34,PROBAST!$A$6:$AE$77,11,)="Low RoB","+",IF(HLOOKUP($A34,PROBAST!$A$6:$AE$77,11,)="High RoB","-",IF(HLOOKUP($A34,PROBAST!$A$6:$AE$77,11,)="Unclear","?",""))),"")</f>
        <v/>
      </c>
      <c r="D34" s="152" t="str">
        <f>_xlfn.IFNA(IF(HLOOKUP($A34,PROBAST!$A$6:$AE$77,25,)="Low RoB","+",IF(HLOOKUP($A34,PROBAST!$A$6:$AE$77,25,)="High RoB","-",IF(HLOOKUP($A34,PROBAST!$A$6:$AE$77,25,)="Unclear","?",""))),"")</f>
        <v/>
      </c>
      <c r="E34" s="152" t="str">
        <f>_xlfn.IFNA(IF(HLOOKUP($A34,PROBAST!$A$6:$AE$77,39,)="Low RoB","+",IF(HLOOKUP($A34,PROBAST!$A$6:$AE$77,39,)="High RoB","-",IF(HLOOKUP($A34,PROBAST!$A$6:$AE$77,39,)="Unclear","?",""))),"")</f>
        <v/>
      </c>
      <c r="F34" s="153" t="str">
        <f>_xlfn.IFNA(IF(HLOOKUP($A34,PROBAST!$A$6:$AE$77,58,)="Low RoB","+",IF(HLOOKUP($A34,PROBAST!$A$6:$AE$77,58,)="High RoB","-",IF(HLOOKUP($A34,PROBAST!$A$6:$AE$77,58,)="Unclear","?",""))),"")</f>
        <v/>
      </c>
      <c r="G34" s="154" t="str">
        <f>_xlfn.IFNA(IF(HLOOKUP($A34,PROBAST!$A$6:$AE$77,12,)="Low concern","+",IF(HLOOKUP($A34,PROBAST!$A$6:$AE$77,12,)="High concern","-",IF(HLOOKUP($A34,PROBAST!$A$6:$AE$77,12,)="Unclear","?",""))),"")</f>
        <v/>
      </c>
      <c r="H34" s="152" t="str">
        <f>_xlfn.IFNA(IF(HLOOKUP($A34,PROBAST!$A$6:$AE$77,26,)="Low concern","+",IF(HLOOKUP($A34,PROBAST!$A$6:$AE$77,26,)="High concern","-",IF(HLOOKUP($A34,PROBAST!$A$6:$AE$77,26,)="Unclear","?",""))),"")</f>
        <v/>
      </c>
      <c r="I34" s="153" t="str">
        <f>_xlfn.IFNA(IF(HLOOKUP($A34,PROBAST!$A$6:$AE$77,40,)="Low concern","+",IF(HLOOKUP($A34,PROBAST!$A$6:$AE$77,40,)="High concern","-",IF(HLOOKUP($A34,PROBAST!$A$6:$AE$77,40,)="Unclear","?",""))),"")</f>
        <v/>
      </c>
      <c r="J34" s="155" t="str">
        <f t="shared" si="0"/>
        <v/>
      </c>
      <c r="K34" s="156" t="str">
        <f t="shared" si="1"/>
        <v/>
      </c>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row>
    <row r="35" spans="1:34" s="127" customFormat="1" ht="15" customHeight="1" x14ac:dyDescent="0.2">
      <c r="A35" s="127" t="str">
        <f>CHARMS!CO$6</f>
        <v/>
      </c>
      <c r="B35" s="189" t="str">
        <f>HLOOKUP($A35,CHARMS!$A$6:$CQ$89,1,)</f>
        <v/>
      </c>
      <c r="C35" s="158" t="str">
        <f>_xlfn.IFNA(IF(HLOOKUP($A35,PROBAST!$A$6:$AE$77,11,)="Low RoB","+",IF(HLOOKUP($A35,PROBAST!$A$6:$AE$77,11,)="High RoB","-",IF(HLOOKUP($A35,PROBAST!$A$6:$AE$77,11,)="Unclear","?",""))),"")</f>
        <v/>
      </c>
      <c r="D35" s="159" t="str">
        <f>_xlfn.IFNA(IF(HLOOKUP($A35,PROBAST!$A$6:$AE$77,25,)="Low RoB","+",IF(HLOOKUP($A35,PROBAST!$A$6:$AE$77,25,)="High RoB","-",IF(HLOOKUP($A35,PROBAST!$A$6:$AE$77,25,)="Unclear","?",""))),"")</f>
        <v/>
      </c>
      <c r="E35" s="159" t="str">
        <f>_xlfn.IFNA(IF(HLOOKUP($A35,PROBAST!$A$6:$AE$77,39,)="Low RoB","+",IF(HLOOKUP($A35,PROBAST!$A$6:$AE$77,39,)="High RoB","-",IF(HLOOKUP($A35,PROBAST!$A$6:$AE$77,39,)="Unclear","?",""))),"")</f>
        <v/>
      </c>
      <c r="F35" s="160" t="str">
        <f>_xlfn.IFNA(IF(HLOOKUP($A35,PROBAST!$A$6:$AE$77,58,)="Low RoB","+",IF(HLOOKUP($A35,PROBAST!$A$6:$AE$77,58,)="High RoB","-",IF(HLOOKUP($A35,PROBAST!$A$6:$AE$77,58,)="Unclear","?",""))),"")</f>
        <v/>
      </c>
      <c r="G35" s="161" t="str">
        <f>_xlfn.IFNA(IF(HLOOKUP($A35,PROBAST!$A$6:$AE$77,12,)="Low concern","+",IF(HLOOKUP($A35,PROBAST!$A$6:$AE$77,12,)="High concern","-",IF(HLOOKUP($A35,PROBAST!$A$6:$AE$77,12,)="Unclear","?",""))),"")</f>
        <v/>
      </c>
      <c r="H35" s="159" t="str">
        <f>_xlfn.IFNA(IF(HLOOKUP($A35,PROBAST!$A$6:$AE$77,26,)="Low concern","+",IF(HLOOKUP($A35,PROBAST!$A$6:$AE$77,26,)="High concern","-",IF(HLOOKUP($A35,PROBAST!$A$6:$AE$77,26,)="Unclear","?",""))),"")</f>
        <v/>
      </c>
      <c r="I35" s="160" t="str">
        <f>_xlfn.IFNA(IF(HLOOKUP($A35,PROBAST!$A$6:$AE$77,40,)="Low concern","+",IF(HLOOKUP($A35,PROBAST!$A$6:$AE$77,40,)="High concern","-",IF(HLOOKUP($A35,PROBAST!$A$6:$AE$77,40,)="Unclear","?",""))),"")</f>
        <v/>
      </c>
      <c r="J35" s="162" t="str">
        <f t="shared" si="0"/>
        <v/>
      </c>
      <c r="K35" s="163" t="str">
        <f t="shared" si="1"/>
        <v/>
      </c>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row>
    <row r="36" spans="1:34" s="126" customFormat="1" ht="12" x14ac:dyDescent="0.2">
      <c r="B36" s="164"/>
      <c r="C36" s="164"/>
      <c r="D36" s="164"/>
      <c r="E36" s="164"/>
      <c r="F36" s="164"/>
      <c r="G36" s="164"/>
      <c r="H36" s="164"/>
      <c r="I36" s="164"/>
      <c r="J36" s="164"/>
      <c r="K36" s="164"/>
    </row>
    <row r="37" spans="1:34" s="126" customFormat="1" ht="15" customHeight="1" x14ac:dyDescent="0.2">
      <c r="B37" s="164"/>
      <c r="C37" s="157">
        <f t="shared" ref="C37:J37" si="2">COUNTIF(C$6:C$35,"+")/SUM(COUNTIF(C$6:C$35,"+"),COUNTIF(C$6:C$35,"-"),30-COUNTIF(C$6:C$35,"")-SUM(COUNTIF(C$6:C$35,"+"),COUNTIF(C$6:C$35,"-")))</f>
        <v>0.63636363636363635</v>
      </c>
      <c r="D37" s="157">
        <f t="shared" si="2"/>
        <v>0.90909090909090906</v>
      </c>
      <c r="E37" s="157">
        <f t="shared" si="2"/>
        <v>1</v>
      </c>
      <c r="F37" s="157">
        <f t="shared" si="2"/>
        <v>0.18181818181818182</v>
      </c>
      <c r="G37" s="157">
        <f t="shared" si="2"/>
        <v>0.72727272727272729</v>
      </c>
      <c r="H37" s="157">
        <f t="shared" si="2"/>
        <v>0.81818181818181823</v>
      </c>
      <c r="I37" s="157">
        <f t="shared" si="2"/>
        <v>1</v>
      </c>
      <c r="J37" s="157">
        <f t="shared" si="2"/>
        <v>0.18181818181818182</v>
      </c>
      <c r="K37" s="157">
        <f>COUNTIF(K$6:K$35,"+")/SUM(COUNTIF(K$6:K$35,"+"),COUNTIF(K$6:K$35,"-"),30-COUNTIF(K$6:K$35,"")-SUM(COUNTIF(K$6:K$35,"+"),COUNTIF(K$6:K$35,"-")))</f>
        <v>0.54545454545454541</v>
      </c>
    </row>
    <row r="38" spans="1:34" s="126" customFormat="1" ht="15" customHeight="1" x14ac:dyDescent="0.2">
      <c r="B38" s="164"/>
      <c r="C38" s="157">
        <f t="shared" ref="C38:J38" si="3">COUNTIF(C$6:C$35,"-")/SUM(COUNTIF(C$6:C$35,"+"),COUNTIF(C$6:C$35,"-"),30-COUNTIF(C$6:C$35,"")-SUM(COUNTIF(C$6:C$35,"+"),COUNTIF(C$6:C$35,"-")))</f>
        <v>0.18181818181818182</v>
      </c>
      <c r="D38" s="157">
        <f t="shared" si="3"/>
        <v>0</v>
      </c>
      <c r="E38" s="157">
        <f t="shared" si="3"/>
        <v>0</v>
      </c>
      <c r="F38" s="157">
        <f t="shared" si="3"/>
        <v>0.72727272727272729</v>
      </c>
      <c r="G38" s="157">
        <f t="shared" si="3"/>
        <v>9.0909090909090912E-2</v>
      </c>
      <c r="H38" s="157">
        <f t="shared" si="3"/>
        <v>0</v>
      </c>
      <c r="I38" s="157">
        <f t="shared" si="3"/>
        <v>0</v>
      </c>
      <c r="J38" s="157">
        <f t="shared" si="3"/>
        <v>0.72727272727272729</v>
      </c>
      <c r="K38" s="157">
        <f>COUNTIF(K$6:K$35,"-")/SUM(COUNTIF(K$6:K$35,"+"),COUNTIF(K$6:K$35,"-"),30-COUNTIF(K$6:K$35,"")-SUM(COUNTIF(K$6:K$35,"+"),COUNTIF(K$6:K$35,"-")))</f>
        <v>9.0909090909090912E-2</v>
      </c>
    </row>
    <row r="39" spans="1:34" x14ac:dyDescent="0.25">
      <c r="B39" s="165"/>
      <c r="C39" s="157">
        <f t="shared" ref="C39:J39" si="4">1-C38-C37</f>
        <v>0.18181818181818177</v>
      </c>
      <c r="D39" s="157">
        <f t="shared" si="4"/>
        <v>9.0909090909090939E-2</v>
      </c>
      <c r="E39" s="157">
        <f t="shared" si="4"/>
        <v>0</v>
      </c>
      <c r="F39" s="157">
        <f t="shared" si="4"/>
        <v>9.0909090909090884E-2</v>
      </c>
      <c r="G39" s="157">
        <f t="shared" si="4"/>
        <v>0.18181818181818177</v>
      </c>
      <c r="H39" s="157">
        <f t="shared" si="4"/>
        <v>0.18181818181818177</v>
      </c>
      <c r="I39" s="157">
        <f t="shared" si="4"/>
        <v>0</v>
      </c>
      <c r="J39" s="157">
        <f t="shared" si="4"/>
        <v>9.0909090909090884E-2</v>
      </c>
      <c r="K39" s="157">
        <f>1-K38-K37</f>
        <v>0.36363636363636365</v>
      </c>
    </row>
    <row r="40" spans="1:34" x14ac:dyDescent="0.25">
      <c r="B40" s="165"/>
      <c r="C40" s="165"/>
      <c r="D40" s="165"/>
      <c r="E40" s="165"/>
      <c r="F40" s="165"/>
      <c r="G40" s="165"/>
      <c r="H40" s="165"/>
      <c r="I40" s="165"/>
      <c r="J40" s="165"/>
      <c r="K40" s="165"/>
    </row>
    <row r="41" spans="1:34" x14ac:dyDescent="0.25">
      <c r="B41" s="165"/>
      <c r="C41" s="165"/>
      <c r="D41" s="165"/>
      <c r="E41" s="165"/>
      <c r="F41" s="165"/>
      <c r="G41" s="165"/>
      <c r="H41" s="165"/>
      <c r="I41" s="165"/>
      <c r="J41" s="165"/>
      <c r="K41" s="165"/>
    </row>
  </sheetData>
  <sheetProtection password="8015" sheet="1" objects="1" scenarios="1"/>
  <mergeCells count="5">
    <mergeCell ref="J4:K4"/>
    <mergeCell ref="C4:F4"/>
    <mergeCell ref="G4:I4"/>
    <mergeCell ref="B4:B5"/>
    <mergeCell ref="B3:K3"/>
  </mergeCells>
  <conditionalFormatting sqref="C6:K35">
    <cfRule type="cellIs" dxfId="6" priority="4" operator="equal">
      <formula>"?"</formula>
    </cfRule>
    <cfRule type="cellIs" dxfId="5" priority="5" operator="equal">
      <formula>"+"</formula>
    </cfRule>
    <cfRule type="cellIs" dxfId="4" priority="6" operator="equal">
      <formula>"-"</formula>
    </cfRule>
  </conditionalFormatting>
  <conditionalFormatting sqref="B6:B35">
    <cfRule type="cellIs" dxfId="3" priority="3" operator="equal">
      <formula>0</formula>
    </cfRule>
  </conditionalFormatting>
  <conditionalFormatting sqref="B6:K35">
    <cfRule type="expression" dxfId="2" priority="1">
      <formula>$A6&lt;&gt;""</formula>
    </cfRule>
    <cfRule type="expression" dxfId="1" priority="2">
      <formula>$A6=""</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061D2-8488-462F-AC9B-4F69EC058080}">
  <sheetPr codeName="Hoja7">
    <tabColor theme="7" tint="0.79998168889431442"/>
  </sheetPr>
  <dimension ref="A1:K30"/>
  <sheetViews>
    <sheetView workbookViewId="0">
      <selection activeCell="A4" sqref="A4:K4"/>
    </sheetView>
  </sheetViews>
  <sheetFormatPr baseColWidth="10" defaultColWidth="11.42578125" defaultRowHeight="15" x14ac:dyDescent="0.25"/>
  <cols>
    <col min="1" max="11" width="28.5703125" style="177" customWidth="1"/>
    <col min="12" max="13" width="21.42578125" style="177" customWidth="1"/>
    <col min="14" max="16384" width="11.42578125" style="177"/>
  </cols>
  <sheetData>
    <row r="1" spans="1:11" ht="15.75" customHeight="1" x14ac:dyDescent="0.25">
      <c r="A1" s="181" t="s">
        <v>438</v>
      </c>
      <c r="B1" s="181"/>
    </row>
    <row r="2" spans="1:11" ht="15.75" customHeight="1" x14ac:dyDescent="0.25"/>
    <row r="3" spans="1:11" ht="15.75" customHeight="1" x14ac:dyDescent="0.25">
      <c r="A3" s="178" t="s">
        <v>403</v>
      </c>
      <c r="B3" s="178"/>
      <c r="C3" s="178"/>
      <c r="D3" s="178"/>
      <c r="E3" s="178"/>
      <c r="F3" s="178"/>
      <c r="G3" s="178"/>
      <c r="H3" s="178"/>
      <c r="I3" s="178"/>
      <c r="J3" s="178"/>
      <c r="K3" s="178"/>
    </row>
    <row r="4" spans="1:11" ht="47.25" customHeight="1" x14ac:dyDescent="0.25">
      <c r="A4" s="180" t="s">
        <v>74</v>
      </c>
      <c r="B4" s="180" t="s">
        <v>404</v>
      </c>
      <c r="C4" s="180" t="s">
        <v>169</v>
      </c>
      <c r="D4" s="180" t="s">
        <v>199</v>
      </c>
      <c r="E4" s="180" t="s">
        <v>202</v>
      </c>
      <c r="F4" s="180" t="s">
        <v>405</v>
      </c>
      <c r="G4" s="180" t="s">
        <v>209</v>
      </c>
      <c r="H4" s="180" t="s">
        <v>256</v>
      </c>
      <c r="I4" s="180" t="s">
        <v>260</v>
      </c>
      <c r="J4" s="180" t="s">
        <v>266</v>
      </c>
      <c r="K4" s="180" t="s">
        <v>270</v>
      </c>
    </row>
    <row r="5" spans="1:11" ht="15.75" customHeight="1" x14ac:dyDescent="0.25">
      <c r="A5" s="179" t="s">
        <v>406</v>
      </c>
      <c r="B5" s="179" t="s">
        <v>407</v>
      </c>
      <c r="C5" s="179" t="s">
        <v>170</v>
      </c>
      <c r="D5" s="179" t="s">
        <v>200</v>
      </c>
      <c r="E5" s="179" t="s">
        <v>204</v>
      </c>
      <c r="F5" s="179" t="s">
        <v>408</v>
      </c>
      <c r="G5" s="179" t="s">
        <v>409</v>
      </c>
      <c r="H5" s="179" t="s">
        <v>258</v>
      </c>
      <c r="I5" s="179" t="s">
        <v>261</v>
      </c>
      <c r="J5" s="179" t="s">
        <v>261</v>
      </c>
      <c r="K5" s="179" t="s">
        <v>261</v>
      </c>
    </row>
    <row r="6" spans="1:11" ht="15.75" customHeight="1" x14ac:dyDescent="0.25">
      <c r="A6" s="179" t="s">
        <v>76</v>
      </c>
      <c r="B6" s="179" t="s">
        <v>130</v>
      </c>
      <c r="C6" s="179" t="s">
        <v>410</v>
      </c>
      <c r="D6" s="179" t="s">
        <v>411</v>
      </c>
      <c r="E6" s="179" t="s">
        <v>412</v>
      </c>
      <c r="F6" s="179" t="s">
        <v>208</v>
      </c>
      <c r="G6" s="179" t="s">
        <v>211</v>
      </c>
      <c r="H6" s="179" t="s">
        <v>257</v>
      </c>
      <c r="I6" s="179" t="s">
        <v>413</v>
      </c>
      <c r="J6" s="179" t="s">
        <v>268</v>
      </c>
      <c r="K6" s="179" t="s">
        <v>414</v>
      </c>
    </row>
    <row r="7" spans="1:11" ht="15.75" customHeight="1" x14ac:dyDescent="0.25">
      <c r="A7" s="179" t="s">
        <v>415</v>
      </c>
      <c r="B7" s="179" t="s">
        <v>416</v>
      </c>
      <c r="C7" s="179" t="s">
        <v>106</v>
      </c>
      <c r="D7" s="179" t="s">
        <v>417</v>
      </c>
      <c r="E7" s="179" t="s">
        <v>418</v>
      </c>
      <c r="F7" s="179" t="s">
        <v>206</v>
      </c>
      <c r="G7" s="179" t="s">
        <v>419</v>
      </c>
      <c r="H7" s="179" t="s">
        <v>420</v>
      </c>
      <c r="I7" s="179" t="s">
        <v>262</v>
      </c>
      <c r="J7" s="179" t="s">
        <v>267</v>
      </c>
      <c r="K7" s="179" t="s">
        <v>272</v>
      </c>
    </row>
    <row r="8" spans="1:11" ht="15.75" customHeight="1" x14ac:dyDescent="0.25">
      <c r="A8" s="179" t="s">
        <v>421</v>
      </c>
      <c r="B8" s="179" t="s">
        <v>128</v>
      </c>
      <c r="C8" s="179" t="s">
        <v>84</v>
      </c>
      <c r="D8" s="179" t="s">
        <v>149</v>
      </c>
      <c r="E8" s="179" t="s">
        <v>422</v>
      </c>
      <c r="F8" s="179" t="s">
        <v>149</v>
      </c>
      <c r="G8" s="179" t="s">
        <v>210</v>
      </c>
      <c r="H8" s="179" t="s">
        <v>423</v>
      </c>
      <c r="I8" s="179" t="s">
        <v>424</v>
      </c>
      <c r="J8" s="179" t="s">
        <v>106</v>
      </c>
      <c r="K8" s="179" t="s">
        <v>425</v>
      </c>
    </row>
    <row r="9" spans="1:11" ht="15.75" customHeight="1" x14ac:dyDescent="0.25">
      <c r="A9" s="179" t="s">
        <v>75</v>
      </c>
      <c r="B9" s="179" t="s">
        <v>426</v>
      </c>
      <c r="C9" s="182" t="s">
        <v>427</v>
      </c>
      <c r="D9" s="182" t="s">
        <v>106</v>
      </c>
      <c r="E9" s="182" t="s">
        <v>428</v>
      </c>
      <c r="F9" s="182" t="s">
        <v>106</v>
      </c>
      <c r="G9" s="182" t="s">
        <v>429</v>
      </c>
      <c r="H9" s="179" t="s">
        <v>259</v>
      </c>
      <c r="I9" s="179" t="s">
        <v>430</v>
      </c>
      <c r="J9" s="179" t="s">
        <v>84</v>
      </c>
      <c r="K9" s="179" t="s">
        <v>271</v>
      </c>
    </row>
    <row r="10" spans="1:11" ht="15.75" customHeight="1" x14ac:dyDescent="0.25">
      <c r="A10" s="179" t="s">
        <v>431</v>
      </c>
      <c r="B10" s="179" t="s">
        <v>140</v>
      </c>
      <c r="C10" s="182" t="s">
        <v>427</v>
      </c>
      <c r="D10" s="182" t="s">
        <v>84</v>
      </c>
      <c r="E10" s="182" t="s">
        <v>149</v>
      </c>
      <c r="F10" s="182" t="s">
        <v>84</v>
      </c>
      <c r="G10" s="182" t="s">
        <v>432</v>
      </c>
      <c r="H10" s="179" t="s">
        <v>149</v>
      </c>
      <c r="I10" s="179" t="s">
        <v>433</v>
      </c>
      <c r="J10" s="182" t="s">
        <v>427</v>
      </c>
      <c r="K10" s="179" t="s">
        <v>434</v>
      </c>
    </row>
    <row r="11" spans="1:11" ht="15.75" customHeight="1" x14ac:dyDescent="0.25">
      <c r="A11" s="179" t="s">
        <v>435</v>
      </c>
      <c r="B11" s="179" t="s">
        <v>149</v>
      </c>
      <c r="C11" s="182" t="s">
        <v>427</v>
      </c>
      <c r="D11" s="182" t="s">
        <v>427</v>
      </c>
      <c r="E11" s="182" t="s">
        <v>106</v>
      </c>
      <c r="F11" s="182" t="s">
        <v>207</v>
      </c>
      <c r="G11" s="182" t="s">
        <v>212</v>
      </c>
      <c r="H11" s="179" t="s">
        <v>106</v>
      </c>
      <c r="I11" s="179" t="s">
        <v>149</v>
      </c>
      <c r="J11" s="182" t="s">
        <v>427</v>
      </c>
      <c r="K11" s="179" t="s">
        <v>436</v>
      </c>
    </row>
    <row r="12" spans="1:11" ht="15.75" customHeight="1" x14ac:dyDescent="0.25">
      <c r="A12" s="179" t="s">
        <v>437</v>
      </c>
      <c r="B12" s="179" t="s">
        <v>106</v>
      </c>
      <c r="C12" s="182" t="s">
        <v>427</v>
      </c>
      <c r="D12" s="182" t="s">
        <v>427</v>
      </c>
      <c r="E12" s="182" t="s">
        <v>84</v>
      </c>
      <c r="F12" s="182" t="s">
        <v>427</v>
      </c>
      <c r="G12" s="179" t="s">
        <v>149</v>
      </c>
      <c r="H12" s="179" t="s">
        <v>84</v>
      </c>
      <c r="I12" s="179" t="s">
        <v>106</v>
      </c>
      <c r="J12" s="182" t="s">
        <v>427</v>
      </c>
      <c r="K12" s="179" t="s">
        <v>149</v>
      </c>
    </row>
    <row r="13" spans="1:11" ht="15.75" customHeight="1" x14ac:dyDescent="0.25">
      <c r="A13" s="179" t="s">
        <v>149</v>
      </c>
      <c r="B13" s="179" t="s">
        <v>84</v>
      </c>
      <c r="C13" s="182" t="s">
        <v>427</v>
      </c>
      <c r="D13" s="182" t="s">
        <v>427</v>
      </c>
      <c r="E13" s="182" t="s">
        <v>203</v>
      </c>
      <c r="F13" s="182" t="s">
        <v>427</v>
      </c>
      <c r="G13" s="182" t="s">
        <v>106</v>
      </c>
      <c r="H13" s="182" t="s">
        <v>427</v>
      </c>
      <c r="I13" s="179" t="s">
        <v>84</v>
      </c>
      <c r="J13" s="182" t="s">
        <v>427</v>
      </c>
      <c r="K13" s="179" t="s">
        <v>106</v>
      </c>
    </row>
    <row r="14" spans="1:11" ht="15.75" customHeight="1" x14ac:dyDescent="0.25">
      <c r="A14" s="179" t="s">
        <v>106</v>
      </c>
      <c r="B14" s="182" t="s">
        <v>427</v>
      </c>
      <c r="C14" s="2"/>
      <c r="D14" s="182" t="s">
        <v>427</v>
      </c>
      <c r="E14" s="182" t="s">
        <v>427</v>
      </c>
      <c r="F14" s="182" t="s">
        <v>427</v>
      </c>
      <c r="G14" s="182" t="s">
        <v>84</v>
      </c>
      <c r="H14" s="182" t="s">
        <v>427</v>
      </c>
      <c r="I14" s="182" t="s">
        <v>427</v>
      </c>
      <c r="J14" s="182" t="s">
        <v>427</v>
      </c>
      <c r="K14" s="179" t="s">
        <v>84</v>
      </c>
    </row>
    <row r="15" spans="1:11" ht="15.75" customHeight="1" x14ac:dyDescent="0.25">
      <c r="A15" s="179" t="s">
        <v>84</v>
      </c>
      <c r="B15" s="182" t="s">
        <v>427</v>
      </c>
      <c r="C15" s="2"/>
      <c r="D15" s="182" t="s">
        <v>427</v>
      </c>
      <c r="E15" s="182" t="s">
        <v>427</v>
      </c>
      <c r="F15" s="182" t="s">
        <v>427</v>
      </c>
      <c r="G15" s="182" t="s">
        <v>427</v>
      </c>
      <c r="H15" s="182" t="s">
        <v>427</v>
      </c>
      <c r="I15" s="182" t="s">
        <v>427</v>
      </c>
      <c r="J15" s="2"/>
      <c r="K15" s="182" t="s">
        <v>427</v>
      </c>
    </row>
    <row r="16" spans="1:11" ht="15.75" customHeight="1" x14ac:dyDescent="0.25">
      <c r="A16" s="182" t="s">
        <v>427</v>
      </c>
      <c r="B16" s="182" t="s">
        <v>427</v>
      </c>
      <c r="C16" s="2"/>
      <c r="D16" s="2"/>
      <c r="E16" s="182" t="s">
        <v>427</v>
      </c>
      <c r="F16" s="2"/>
      <c r="G16" s="182" t="s">
        <v>427</v>
      </c>
      <c r="H16" s="182" t="s">
        <v>427</v>
      </c>
      <c r="I16" s="182" t="s">
        <v>427</v>
      </c>
      <c r="J16" s="2"/>
      <c r="K16" s="182" t="s">
        <v>427</v>
      </c>
    </row>
    <row r="17" spans="1:11" ht="15.75" customHeight="1" x14ac:dyDescent="0.25">
      <c r="A17" s="182" t="s">
        <v>427</v>
      </c>
      <c r="B17" s="182" t="s">
        <v>427</v>
      </c>
      <c r="C17" s="2"/>
      <c r="D17" s="2"/>
      <c r="E17" s="182" t="s">
        <v>427</v>
      </c>
      <c r="F17" s="2"/>
      <c r="G17" s="182" t="s">
        <v>427</v>
      </c>
      <c r="H17" s="182" t="s">
        <v>427</v>
      </c>
      <c r="I17" s="182" t="s">
        <v>427</v>
      </c>
      <c r="J17" s="2"/>
      <c r="K17" s="182" t="s">
        <v>427</v>
      </c>
    </row>
    <row r="18" spans="1:11" ht="15.75" customHeight="1" x14ac:dyDescent="0.25">
      <c r="A18" s="182" t="s">
        <v>427</v>
      </c>
      <c r="B18" s="182" t="s">
        <v>427</v>
      </c>
      <c r="C18" s="2"/>
      <c r="D18" s="2"/>
      <c r="E18" s="2"/>
      <c r="F18" s="2"/>
      <c r="G18" s="182" t="s">
        <v>427</v>
      </c>
      <c r="H18" s="2"/>
      <c r="I18" s="182" t="s">
        <v>427</v>
      </c>
      <c r="J18" s="2"/>
      <c r="K18" s="182" t="s">
        <v>427</v>
      </c>
    </row>
    <row r="19" spans="1:11" ht="15.75" customHeight="1" x14ac:dyDescent="0.25">
      <c r="A19" s="182" t="s">
        <v>427</v>
      </c>
      <c r="B19" s="183"/>
      <c r="C19" s="2"/>
      <c r="D19" s="2"/>
      <c r="E19" s="2"/>
      <c r="F19" s="2"/>
      <c r="G19" s="182" t="s">
        <v>427</v>
      </c>
      <c r="H19" s="2"/>
      <c r="I19" s="2"/>
      <c r="J19" s="2"/>
      <c r="K19" s="182" t="s">
        <v>427</v>
      </c>
    </row>
    <row r="20" spans="1:11" ht="15.75" customHeight="1" x14ac:dyDescent="0.25">
      <c r="A20" s="182" t="s">
        <v>427</v>
      </c>
      <c r="B20" s="183"/>
      <c r="C20" s="2"/>
      <c r="D20" s="2"/>
      <c r="E20" s="2"/>
      <c r="F20" s="2"/>
      <c r="G20" s="2"/>
      <c r="H20" s="2"/>
      <c r="I20" s="2"/>
      <c r="J20" s="2"/>
      <c r="K20" s="2"/>
    </row>
    <row r="21" spans="1:11" ht="15.75" customHeight="1" x14ac:dyDescent="0.25">
      <c r="A21" s="35"/>
      <c r="B21" s="35"/>
    </row>
    <row r="22" spans="1:11" ht="15.75" customHeight="1" x14ac:dyDescent="0.25">
      <c r="A22" s="35"/>
      <c r="B22" s="35"/>
    </row>
    <row r="23" spans="1:11" ht="15.75" customHeight="1" x14ac:dyDescent="0.25">
      <c r="A23" s="35"/>
      <c r="B23" s="35"/>
    </row>
    <row r="24" spans="1:11" ht="15.75" customHeight="1" x14ac:dyDescent="0.25">
      <c r="A24" s="35"/>
      <c r="B24" s="35"/>
    </row>
    <row r="25" spans="1:11" ht="15.75" customHeight="1" x14ac:dyDescent="0.25">
      <c r="A25" s="35"/>
      <c r="B25" s="35"/>
    </row>
    <row r="26" spans="1:11" ht="15.75" customHeight="1" x14ac:dyDescent="0.25">
      <c r="A26" s="35"/>
      <c r="B26" s="35"/>
    </row>
    <row r="27" spans="1:11" ht="15.75" customHeight="1" x14ac:dyDescent="0.25">
      <c r="A27" s="35"/>
      <c r="B27" s="35"/>
    </row>
    <row r="28" spans="1:11" ht="15.75" customHeight="1" x14ac:dyDescent="0.25">
      <c r="A28" s="35"/>
      <c r="B28" s="35"/>
    </row>
    <row r="29" spans="1:11" ht="15.75" customHeight="1" x14ac:dyDescent="0.25">
      <c r="A29" s="35"/>
      <c r="B29" s="35"/>
    </row>
    <row r="30" spans="1:11" ht="15.75" customHeight="1" x14ac:dyDescent="0.25">
      <c r="A30" s="35"/>
      <c r="B30" s="35"/>
    </row>
  </sheetData>
  <sheetProtection password="8015" sheet="1" objects="1" scenarios="1"/>
  <conditionalFormatting sqref="A5:K20">
    <cfRule type="cellIs" dxfId="0" priority="1" operator="equal">
      <formula>"(Add field)"</formula>
    </cfRule>
  </conditionalFormatting>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D9E1685CA03ED48826C047F6C774DBC" ma:contentTypeVersion="4" ma:contentTypeDescription="Crear nuevo documento." ma:contentTypeScope="" ma:versionID="61a7bf931ee0c0ed87a6196b75be45eb">
  <xsd:schema xmlns:xsd="http://www.w3.org/2001/XMLSchema" xmlns:xs="http://www.w3.org/2001/XMLSchema" xmlns:p="http://schemas.microsoft.com/office/2006/metadata/properties" xmlns:ns2="ae1d1468-2b29-4b51-8809-6bac28721d06" targetNamespace="http://schemas.microsoft.com/office/2006/metadata/properties" ma:root="true" ma:fieldsID="7f6e793b0077c1eb41342dbed7d6f391" ns2:_="">
    <xsd:import namespace="ae1d1468-2b29-4b51-8809-6bac28721d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1d1468-2b29-4b51-8809-6bac28721d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1B6744-8ABE-4CAA-BDFE-1DB2AEA1D6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1d1468-2b29-4b51-8809-6bac28721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9A5D6B-EC2E-4F49-BA55-D4DCBE319A2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DC75C99-1C92-4261-9CD0-BA06D6BB2C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HOME</vt:lpstr>
      <vt:lpstr>SUMMARY</vt:lpstr>
      <vt:lpstr>CHARMS</vt:lpstr>
      <vt:lpstr>PROBAST</vt:lpstr>
      <vt:lpstr>Study Characteristics</vt:lpstr>
      <vt:lpstr>Model characteristics</vt:lpstr>
      <vt:lpstr>PROBAST summary</vt:lpstr>
      <vt:lpstr>CHARMS.Drop-down response 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Borja Fernandez</dc:creator>
  <cp:keywords/>
  <dc:description/>
  <cp:lastModifiedBy>Borja Fernandez</cp:lastModifiedBy>
  <cp:revision/>
  <dcterms:created xsi:type="dcterms:W3CDTF">2019-06-28T08:05:43Z</dcterms:created>
  <dcterms:modified xsi:type="dcterms:W3CDTF">2022-12-28T09:55:24Z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0x0101005D9E1685CA03ED48826C047F6C774DBC</vt:lpwstr>
  </property>
</Properties>
</file>