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brummer/Library/CloudStorage/GoogleDrive-lukas.bruemmer@gmail.com/My Drive/Arbeit/JHSPH/Diagnostic tool for ACF/Writing/Third revision/"/>
    </mc:Choice>
  </mc:AlternateContent>
  <xr:revisionPtr revIDLastSave="0" documentId="13_ncr:1_{1A36A3A1-CDFD-454A-A58B-D5941DBF9A6B}" xr6:coauthVersionLast="47" xr6:coauthVersionMax="47" xr10:uidLastSave="{00000000-0000-0000-0000-000000000000}"/>
  <bookViews>
    <workbookView xWindow="0" yWindow="720" windowWidth="29400" windowHeight="18400" activeTab="1" xr2:uid="{6E14FB3E-0A17-E942-BC72-437D0DEC2C6D}"/>
  </bookViews>
  <sheets>
    <sheet name="Mortality_old" sheetId="11" state="hidden" r:id="rId1"/>
    <sheet name="Population pathways" sheetId="13" r:id="rId2"/>
    <sheet name="Adjust mortality (cp 1.1.1)" sheetId="15" r:id="rId3"/>
    <sheet name="Adjust receive trmt (cp 1.1.2)" sheetId="17" r:id="rId4"/>
    <sheet name="Source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8" i="15" l="1"/>
  <c r="C23" i="15"/>
  <c r="B16" i="17"/>
  <c r="B21" i="13" s="1"/>
  <c r="B31" i="13" s="1"/>
  <c r="B15" i="17"/>
  <c r="B14" i="17"/>
  <c r="B13" i="17"/>
  <c r="B2" i="17"/>
  <c r="B17" i="13"/>
  <c r="B27" i="13" s="1"/>
  <c r="J40" i="15"/>
  <c r="J14" i="15"/>
  <c r="C29" i="15"/>
  <c r="K30" i="15"/>
  <c r="K29" i="15"/>
  <c r="C28" i="15"/>
  <c r="J28" i="15" s="1"/>
  <c r="C14" i="17" l="1"/>
  <c r="D14" i="17" s="1"/>
  <c r="C13" i="17"/>
  <c r="D13" i="17" s="1"/>
  <c r="C15" i="17"/>
  <c r="D15" i="17" s="1"/>
  <c r="C16" i="17"/>
  <c r="D16" i="17" s="1"/>
  <c r="B19" i="13"/>
  <c r="B29" i="13" s="1"/>
  <c r="J3" i="15"/>
  <c r="K28" i="15" l="1"/>
  <c r="D28" i="15"/>
  <c r="I21" i="15"/>
  <c r="I20" i="15"/>
  <c r="I19" i="15"/>
  <c r="I18" i="15"/>
  <c r="I16" i="15"/>
  <c r="I15" i="15"/>
  <c r="I14" i="15"/>
  <c r="I13" i="15"/>
  <c r="I11" i="15"/>
  <c r="I10" i="15"/>
  <c r="I9" i="15"/>
  <c r="I8" i="15"/>
  <c r="I6" i="15"/>
  <c r="I5" i="15"/>
  <c r="I4" i="15"/>
  <c r="I3" i="15"/>
  <c r="B21" i="15"/>
  <c r="B20" i="15"/>
  <c r="B19" i="15"/>
  <c r="B18" i="15"/>
  <c r="B16" i="15"/>
  <c r="B15" i="15"/>
  <c r="B14" i="15"/>
  <c r="B13" i="15"/>
  <c r="B11" i="15"/>
  <c r="B10" i="15"/>
  <c r="B9" i="15"/>
  <c r="B8" i="15"/>
  <c r="B6" i="15"/>
  <c r="B5" i="15"/>
  <c r="B4" i="15"/>
  <c r="B3" i="15"/>
  <c r="D6" i="11"/>
  <c r="C6" i="11"/>
  <c r="B6" i="11"/>
  <c r="D5" i="11"/>
  <c r="C5" i="11"/>
  <c r="B5" i="11"/>
  <c r="D30" i="15" l="1"/>
  <c r="E30" i="15" s="1"/>
  <c r="D29" i="15"/>
  <c r="C36" i="15" s="1"/>
  <c r="C34" i="15"/>
  <c r="C33" i="15"/>
  <c r="C35" i="15"/>
  <c r="L29" i="15"/>
  <c r="L30" i="15"/>
  <c r="C30" i="15"/>
  <c r="E29" i="15"/>
  <c r="L28" i="15"/>
  <c r="J6" i="15"/>
  <c r="J13" i="15"/>
  <c r="J8" i="15"/>
  <c r="J4" i="15"/>
  <c r="J20" i="15"/>
  <c r="J10" i="15"/>
  <c r="J18" i="15"/>
  <c r="J16" i="15"/>
  <c r="J11" i="15"/>
  <c r="J21" i="15"/>
  <c r="J5" i="15"/>
  <c r="J33" i="15" s="1"/>
  <c r="J15" i="15"/>
  <c r="J9" i="15"/>
  <c r="J19" i="15"/>
  <c r="J34" i="15" l="1"/>
  <c r="J36" i="15"/>
  <c r="J35" i="15"/>
  <c r="J30" i="15"/>
  <c r="J29" i="15"/>
  <c r="J39" i="15" l="1"/>
  <c r="J41" i="15"/>
  <c r="J42" i="15"/>
  <c r="B10" i="13" s="1"/>
  <c r="B20" i="13" l="1"/>
  <c r="B30" i="13" s="1"/>
  <c r="B4" i="13"/>
  <c r="B6" i="13"/>
  <c r="B16" i="13" s="1"/>
  <c r="B26" i="13" s="1"/>
  <c r="B8" i="13"/>
  <c r="B18" i="13" s="1"/>
  <c r="B28" i="13" s="1"/>
  <c r="B15" i="13" l="1"/>
  <c r="B25" i="13" s="1"/>
  <c r="B14" i="13"/>
  <c r="B24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tc={7A94F222-8295-8D48-BEF0-DBFBA154161C}</author>
    <author>tc={D8C4D625-2A8D-5B44-A6EF-086B6F33D7B4}</author>
  </authors>
  <commentList>
    <comment ref="A5" authorId="0" shapeId="0" xr:uid="{7A94F222-8295-8D48-BEF0-DBFBA154161C}">
      <text>
        <t>[Threaded comment]
Your version of Excel allows you to read this threaded comment; however, any edits to it will get removed if the file is opened in a newer version of Excel. Learn more: https://go.microsoft.com/fwlink/?linkid=870924
Comment:
    Turn into case fatality rate</t>
      </text>
    </comment>
    <comment ref="A6" authorId="1" shapeId="0" xr:uid="{D8C4D625-2A8D-5B44-A6EF-086B6F33D7B4}">
      <text>
        <t>[Threaded comment]
Your version of Excel allows you to read this threaded comment; however, any edits to it will get removed if the file is opened in a newer version of Excel. Learn more: https://go.microsoft.com/fwlink/?linkid=870924
Comment:
    Turn into case fatality rate</t>
      </text>
    </comment>
  </commentList>
</comments>
</file>

<file path=xl/sharedStrings.xml><?xml version="1.0" encoding="utf-8"?>
<sst xmlns="http://schemas.openxmlformats.org/spreadsheetml/2006/main" count="256" uniqueCount="101">
  <si>
    <t>Parameter</t>
  </si>
  <si>
    <t>Source</t>
  </si>
  <si>
    <t>Notes</t>
  </si>
  <si>
    <t>[1]</t>
  </si>
  <si>
    <t>Sources</t>
  </si>
  <si>
    <t>[2]</t>
  </si>
  <si>
    <t>[3]</t>
  </si>
  <si>
    <t>[4]</t>
  </si>
  <si>
    <t>[5]</t>
  </si>
  <si>
    <t>Point_estimate</t>
  </si>
  <si>
    <t>Lower_range</t>
  </si>
  <si>
    <t>Upper_range</t>
  </si>
  <si>
    <t>Description</t>
  </si>
  <si>
    <t>Point estimate</t>
  </si>
  <si>
    <t>Time horizon (years)</t>
  </si>
  <si>
    <t>[33]</t>
  </si>
  <si>
    <t>Infectious and Clinical Tuberculosis Trajectories: Bayesian modeling with case finding implications</t>
  </si>
  <si>
    <t>https://www.pnas.org/doi/10.1073/pnas.2211045119</t>
  </si>
  <si>
    <t>Without treatment</t>
  </si>
  <si>
    <t>TB mortality in HIV positive</t>
  </si>
  <si>
    <t>TB disease duration overall (years)</t>
  </si>
  <si>
    <t>TB disease duration smear positive (years)</t>
  </si>
  <si>
    <t>TB disease duration smear negative (years)</t>
  </si>
  <si>
    <t>Case fatality rate overall</t>
  </si>
  <si>
    <t>Case fatality rate smear positive</t>
  </si>
  <si>
    <t>Case fatality rate smear negative</t>
  </si>
  <si>
    <t>[36]</t>
  </si>
  <si>
    <t>Mortality rate smear positive symptomatic</t>
  </si>
  <si>
    <t>Mortality rate smear negative symptomatic</t>
  </si>
  <si>
    <t>[37]</t>
  </si>
  <si>
    <t>TB mortality in HIV negative</t>
  </si>
  <si>
    <t>[38]</t>
  </si>
  <si>
    <t>Maybe useful</t>
  </si>
  <si>
    <t>[39]</t>
  </si>
  <si>
    <t>Adjusted odds ratio moratlity per &gt; 1 month symptoms</t>
  </si>
  <si>
    <t>Mortality rate smear positive (treatment negative)</t>
  </si>
  <si>
    <t>Mortality rate smear negative (treatment negative)</t>
  </si>
  <si>
    <t>Estimate TB mortality in people with TB under standard of care</t>
  </si>
  <si>
    <t>Estimate difference in mortality by smear status</t>
  </si>
  <si>
    <t>symp.pos.smear.pos.hiv.pos</t>
  </si>
  <si>
    <t>symp.pos.smear.pos.hiv.neg</t>
  </si>
  <si>
    <t>symp.pos.smear.neg.hiv.pos</t>
  </si>
  <si>
    <t>symp.pos.smear.neg.hiv.neg</t>
  </si>
  <si>
    <t>symp.neg.smear.pos.hiv.pos</t>
  </si>
  <si>
    <t>symp.neg.smear.pos.hiv.neg</t>
  </si>
  <si>
    <t>symp.neg.smear.neg.hiv.pos</t>
  </si>
  <si>
    <t>symp.neg.smear.neg.hiv.neg</t>
  </si>
  <si>
    <t>Proportion receiving treatment</t>
  </si>
  <si>
    <t>Proportion died of TB without treatment</t>
  </si>
  <si>
    <t>Proportion resolved sponatneusly</t>
  </si>
  <si>
    <t>Durations of asymptomatic, symptomatic, and care-seeking phases of tuberculosis disease with a Bayesian analysis of prevalence survey and notification data</t>
  </si>
  <si>
    <t>https://bmcmedicine.biomedcentral.com/articles/10.1186/s12916-021-02128-9</t>
  </si>
  <si>
    <t>Background mortality</t>
  </si>
  <si>
    <t>yearly</t>
  </si>
  <si>
    <t>Mortality HIV neg smear neg TB</t>
  </si>
  <si>
    <t>Mortality HIV neg smear pos TB</t>
  </si>
  <si>
    <t>United nations crude death rate per country</t>
  </si>
  <si>
    <t>https://population.un.org/dataportal/data/indicators/59/locations/404/start/1990/end/2023/table/pivotbylocation</t>
  </si>
  <si>
    <t>Disease duration ratio HIV pos : HIV neg</t>
  </si>
  <si>
    <t>Initial states</t>
  </si>
  <si>
    <t>States going through</t>
  </si>
  <si>
    <t>monthly rate</t>
  </si>
  <si>
    <t>monthly prob</t>
  </si>
  <si>
    <t>yearly rate</t>
  </si>
  <si>
    <t>Mortality HIV pos smear neg TB symp pos</t>
  </si>
  <si>
    <t>Mortality HIV pos smear pos TB symp pos</t>
  </si>
  <si>
    <t>Mortality HIV pos without TB or asymp TB</t>
  </si>
  <si>
    <t>WHO large data repository on TB</t>
  </si>
  <si>
    <t>https://www.who.int/teams/global-tuberculosis-programme/data</t>
  </si>
  <si>
    <t>symp.pos.smear.pos</t>
  </si>
  <si>
    <t>symp.pos.smear.neg</t>
  </si>
  <si>
    <t>symp.neg.smear.pos</t>
  </si>
  <si>
    <t>symp.neg.smear.neg</t>
  </si>
  <si>
    <t>Author</t>
  </si>
  <si>
    <t>Population pathways under routine care</t>
  </si>
  <si>
    <t>Ratio mortality HIV positive / HIV negative</t>
  </si>
  <si>
    <t>Odds ratio case detection HIV positive to HIV negative</t>
  </si>
  <si>
    <t>Odds ratio adjusted for impact of HIV infection</t>
  </si>
  <si>
    <t>calculations</t>
  </si>
  <si>
    <t>#</t>
  </si>
  <si>
    <t>Title</t>
  </si>
  <si>
    <t>Link</t>
  </si>
  <si>
    <t>Ryckman et al.</t>
  </si>
  <si>
    <t>Ku et al.</t>
  </si>
  <si>
    <t>World Health Organization</t>
  </si>
  <si>
    <t>United Nations</t>
  </si>
  <si>
    <t>UNAIDS</t>
  </si>
  <si>
    <t>AIDSinfo – Global data on HIV epidemic and response Geneva</t>
  </si>
  <si>
    <t>https://aidsinfo.unaids.org</t>
  </si>
  <si>
    <t>[1], [2]</t>
  </si>
  <si>
    <t>[3], [4]</t>
  </si>
  <si>
    <t>[2], [4]</t>
  </si>
  <si>
    <t>[1], [2], [4]</t>
  </si>
  <si>
    <t>Probability of death from TB in HIV negative individuals</t>
  </si>
  <si>
    <t>Probability of death from TB in HIV positive individuals</t>
  </si>
  <si>
    <t>Average disease duration in HIV negative individuals (months)</t>
  </si>
  <si>
    <t>Average disease duration in HIV positive individuals (months)</t>
  </si>
  <si>
    <t>Proportion of HIV negative individuals receiving treatment (versus spontaneous resolution), out of those who do not die prior to treatment</t>
  </si>
  <si>
    <t>Proportion of HIV positive individuals receiving treatment (versus spontaneous resolution), out of those who do not die prior to treatment</t>
  </si>
  <si>
    <t>Proportion of HIV-negative individuals experiencing spontaneus resolution prior to treatment</t>
  </si>
  <si>
    <t>Proportion of HIV-negative individuals receiving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</si>
</sst>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0000000"/>
    <numFmt numFmtId="167" formatCode="0.00000"/>
    <numFmt numFmtId="168" formatCode="0.0000000"/>
    <numFmt numFmtId="169" formatCode="0.0000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2" fillId="0" borderId="0" xfId="0" applyFont="1"/>
    <xf numFmtId="0" fontId="2" fillId="0" borderId="0" xfId="0" applyFont="1" applyAlignment="1">
      <alignment vertical="center"/>
    </xf>
    <xf numFmtId="164" fontId="0" fillId="0" borderId="0" xfId="0" applyNumberFormat="1"/>
    <xf numFmtId="0" fontId="3" fillId="0" borderId="0" xfId="0" applyFont="1"/>
    <xf numFmtId="165" fontId="0" fillId="0" borderId="0" xfId="0" applyNumberForma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3" borderId="0" xfId="0" applyFill="1"/>
    <xf numFmtId="166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0" fillId="0" borderId="0" xfId="0" applyAlignment="1">
      <alignment horizontal="left" vertical="center"/>
    </xf>
    <xf numFmtId="169" fontId="0" fillId="0" borderId="0" xfId="0" applyNumberFormat="1"/>
    <xf numFmtId="0" fontId="0" fillId="0" borderId="0" xfId="0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7" fontId="0" fillId="0" borderId="7" xfId="0" applyNumberFormat="1" applyBorder="1"/>
    <xf numFmtId="0" fontId="0" fillId="0" borderId="8" xfId="0" applyBorder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164" fontId="0" fillId="0" borderId="10" xfId="0" applyNumberFormat="1" applyBorder="1"/>
    <xf numFmtId="164" fontId="0" fillId="0" borderId="11" xfId="0" applyNumberFormat="1" applyBorder="1"/>
    <xf numFmtId="165" fontId="0" fillId="0" borderId="0" xfId="0" applyNumberFormat="1" applyAlignment="1">
      <alignment wrapText="1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kas Brümmer" id="{E909C62A-B8C8-9544-89B1-2336C7BC31B3}" userId="b4f8efcc7f111c19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3-02-03T20:05:46.53" personId="{E909C62A-B8C8-9544-89B1-2336C7BC31B3}" id="{7A94F222-8295-8D48-BEF0-DBFBA154161C}">
    <text>Turn into case fatality rate</text>
  </threadedComment>
  <threadedComment ref="A6" dT="2023-02-03T20:05:57.06" personId="{E909C62A-B8C8-9544-89B1-2336C7BC31B3}" id="{D8C4D625-2A8D-5B44-A6EF-086B6F33D7B4}">
    <text>Turn into case fatality rate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ho.int/teams/global-tuberculosis-programme/data" TargetMode="External"/><Relationship Id="rId2" Type="http://schemas.openxmlformats.org/officeDocument/2006/relationships/hyperlink" Target="https://bmcmedicine.biomedcentral.com/articles/10.1186/s12916-021-02128-9" TargetMode="External"/><Relationship Id="rId1" Type="http://schemas.openxmlformats.org/officeDocument/2006/relationships/hyperlink" Target="https://www.pnas.org/doi/10.1073/pnas.2211045119" TargetMode="External"/><Relationship Id="rId5" Type="http://schemas.openxmlformats.org/officeDocument/2006/relationships/hyperlink" Target="https://aidsinfo.unaids.org/" TargetMode="External"/><Relationship Id="rId4" Type="http://schemas.openxmlformats.org/officeDocument/2006/relationships/hyperlink" Target="https://population.un.org/dataportal/data/indicators/59/locations/404/start/1990/end/2023/table/pivotbylo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B9CD0-CD33-944E-895A-6943134D969A}">
  <dimension ref="A1:G33"/>
  <sheetViews>
    <sheetView topLeftCell="A3" zoomScale="112" workbookViewId="0">
      <selection activeCell="C31" sqref="C31"/>
    </sheetView>
  </sheetViews>
  <sheetFormatPr baseColWidth="10" defaultColWidth="11" defaultRowHeight="16" x14ac:dyDescent="0.2"/>
  <cols>
    <col min="1" max="1" width="41.6640625" bestFit="1" customWidth="1"/>
    <col min="2" max="4" width="17.6640625" customWidth="1"/>
    <col min="5" max="5" width="46.6640625" bestFit="1" customWidth="1"/>
    <col min="6" max="6" width="23.6640625" customWidth="1"/>
    <col min="7" max="7" width="105.33203125" bestFit="1" customWidth="1"/>
  </cols>
  <sheetData>
    <row r="1" spans="1:7" x14ac:dyDescent="0.2">
      <c r="A1" s="3" t="s">
        <v>0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</v>
      </c>
      <c r="G1" s="3" t="s">
        <v>2</v>
      </c>
    </row>
    <row r="2" spans="1:7" x14ac:dyDescent="0.2">
      <c r="A2" t="s">
        <v>14</v>
      </c>
      <c r="B2">
        <v>5</v>
      </c>
      <c r="C2">
        <v>5</v>
      </c>
      <c r="D2">
        <v>5</v>
      </c>
    </row>
    <row r="4" spans="1:7" x14ac:dyDescent="0.2">
      <c r="A4" s="2" t="s">
        <v>37</v>
      </c>
    </row>
    <row r="5" spans="1:7" x14ac:dyDescent="0.2">
      <c r="A5" t="s">
        <v>30</v>
      </c>
      <c r="B5" s="6">
        <f>14/100000</f>
        <v>1.3999999999999999E-4</v>
      </c>
      <c r="C5" s="6">
        <f>7.6/100000</f>
        <v>7.5999999999999991E-5</v>
      </c>
      <c r="D5" s="6">
        <f>22/100000</f>
        <v>2.2000000000000001E-4</v>
      </c>
      <c r="F5" t="s">
        <v>31</v>
      </c>
    </row>
    <row r="6" spans="1:7" x14ac:dyDescent="0.2">
      <c r="A6" t="s">
        <v>19</v>
      </c>
      <c r="B6" s="6">
        <f>14/100000</f>
        <v>1.3999999999999999E-4</v>
      </c>
      <c r="C6" s="6">
        <f>8.4/100000</f>
        <v>8.4000000000000009E-5</v>
      </c>
      <c r="D6" s="6">
        <f>20/100000</f>
        <v>2.0000000000000001E-4</v>
      </c>
      <c r="F6" t="s">
        <v>31</v>
      </c>
    </row>
    <row r="7" spans="1:7" x14ac:dyDescent="0.2">
      <c r="B7" s="6"/>
      <c r="C7" s="6"/>
      <c r="D7" s="6"/>
      <c r="F7" t="s">
        <v>31</v>
      </c>
    </row>
    <row r="8" spans="1:7" x14ac:dyDescent="0.2">
      <c r="B8" s="6"/>
      <c r="C8" s="6"/>
      <c r="D8" s="6"/>
      <c r="F8" t="s">
        <v>31</v>
      </c>
    </row>
    <row r="9" spans="1:7" x14ac:dyDescent="0.2">
      <c r="B9" s="6"/>
      <c r="C9" s="6"/>
      <c r="D9" s="6"/>
    </row>
    <row r="10" spans="1:7" x14ac:dyDescent="0.2">
      <c r="A10" s="2" t="s">
        <v>38</v>
      </c>
      <c r="B10" s="6"/>
      <c r="C10" s="6"/>
      <c r="D10" s="6"/>
    </row>
    <row r="11" spans="1:7" x14ac:dyDescent="0.2">
      <c r="A11" t="s">
        <v>35</v>
      </c>
      <c r="B11">
        <v>0.38900000000000001</v>
      </c>
      <c r="C11">
        <v>0.33500000000000002</v>
      </c>
      <c r="D11">
        <v>0.44900000000000001</v>
      </c>
      <c r="F11" t="s">
        <v>29</v>
      </c>
    </row>
    <row r="12" spans="1:7" x14ac:dyDescent="0.2">
      <c r="A12" t="s">
        <v>36</v>
      </c>
      <c r="B12">
        <v>2.5000000000000001E-2</v>
      </c>
      <c r="F12" t="s">
        <v>29</v>
      </c>
    </row>
    <row r="20" spans="1:6" x14ac:dyDescent="0.2">
      <c r="B20" s="4"/>
    </row>
    <row r="21" spans="1:6" x14ac:dyDescent="0.2">
      <c r="A21" s="7" t="s">
        <v>32</v>
      </c>
      <c r="B21" s="8"/>
      <c r="C21" s="8"/>
      <c r="D21" s="8"/>
      <c r="E21" s="8"/>
      <c r="F21" s="8"/>
    </row>
    <row r="22" spans="1:6" x14ac:dyDescent="0.2">
      <c r="A22" s="8" t="s">
        <v>34</v>
      </c>
      <c r="B22" s="8">
        <v>1.1200000000000001</v>
      </c>
      <c r="C22" s="8">
        <v>1.04</v>
      </c>
      <c r="D22" s="8">
        <v>1.2</v>
      </c>
      <c r="E22" s="8"/>
      <c r="F22" s="8" t="s">
        <v>33</v>
      </c>
    </row>
    <row r="23" spans="1:6" x14ac:dyDescent="0.2">
      <c r="A23" s="8"/>
      <c r="B23" s="8"/>
      <c r="C23" s="8"/>
      <c r="D23" s="8"/>
      <c r="E23" s="8"/>
      <c r="F23" s="8"/>
    </row>
    <row r="24" spans="1:6" x14ac:dyDescent="0.2">
      <c r="A24" s="8"/>
      <c r="B24" s="8"/>
      <c r="C24" s="9"/>
      <c r="D24" s="8"/>
      <c r="E24" s="8"/>
      <c r="F24" s="8"/>
    </row>
    <row r="25" spans="1:6" x14ac:dyDescent="0.2">
      <c r="A25" s="7" t="s">
        <v>18</v>
      </c>
      <c r="B25" s="8"/>
      <c r="C25" s="8"/>
      <c r="D25" s="8"/>
      <c r="E25" s="8"/>
      <c r="F25" s="8"/>
    </row>
    <row r="26" spans="1:6" x14ac:dyDescent="0.2">
      <c r="A26" s="8" t="s">
        <v>20</v>
      </c>
      <c r="B26" s="8">
        <v>3</v>
      </c>
      <c r="C26" s="8"/>
      <c r="D26" s="8"/>
      <c r="E26" s="8"/>
      <c r="F26" s="8" t="s">
        <v>26</v>
      </c>
    </row>
    <row r="27" spans="1:6" x14ac:dyDescent="0.2">
      <c r="A27" s="8" t="s">
        <v>21</v>
      </c>
      <c r="B27" s="8">
        <v>1.57</v>
      </c>
      <c r="C27" s="8">
        <v>1.37</v>
      </c>
      <c r="D27" s="8">
        <v>1.81</v>
      </c>
      <c r="E27" s="8"/>
      <c r="F27" s="8" t="s">
        <v>29</v>
      </c>
    </row>
    <row r="28" spans="1:6" x14ac:dyDescent="0.2">
      <c r="A28" s="8" t="s">
        <v>22</v>
      </c>
      <c r="B28" s="8">
        <v>5.35</v>
      </c>
      <c r="C28" s="8">
        <v>3.42</v>
      </c>
      <c r="D28" s="8">
        <v>8.23</v>
      </c>
      <c r="E28" s="8"/>
      <c r="F28" s="8" t="s">
        <v>29</v>
      </c>
    </row>
    <row r="29" spans="1:6" x14ac:dyDescent="0.2">
      <c r="A29" s="8" t="s">
        <v>23</v>
      </c>
      <c r="B29" s="8">
        <v>0.47</v>
      </c>
      <c r="C29" s="8"/>
      <c r="D29" s="8"/>
      <c r="E29" s="8"/>
      <c r="F29" s="8" t="s">
        <v>26</v>
      </c>
    </row>
    <row r="30" spans="1:6" x14ac:dyDescent="0.2">
      <c r="A30" s="8" t="s">
        <v>24</v>
      </c>
      <c r="B30" s="8">
        <v>0.7</v>
      </c>
      <c r="C30" s="8"/>
      <c r="D30" s="8"/>
      <c r="E30" s="8"/>
      <c r="F30" s="8" t="s">
        <v>26</v>
      </c>
    </row>
    <row r="31" spans="1:6" x14ac:dyDescent="0.2">
      <c r="A31" s="8" t="s">
        <v>25</v>
      </c>
      <c r="B31" s="8">
        <v>0.24</v>
      </c>
      <c r="C31" s="8"/>
      <c r="D31" s="8"/>
      <c r="E31" s="8"/>
      <c r="F31" s="8" t="s">
        <v>26</v>
      </c>
    </row>
    <row r="32" spans="1:6" x14ac:dyDescent="0.2">
      <c r="A32" s="8" t="s">
        <v>27</v>
      </c>
      <c r="B32" s="8">
        <v>0.57999999999999996</v>
      </c>
      <c r="C32" s="8">
        <v>0.51</v>
      </c>
      <c r="D32" s="8">
        <v>0.64</v>
      </c>
      <c r="E32" s="8"/>
      <c r="F32" s="8" t="s">
        <v>15</v>
      </c>
    </row>
    <row r="33" spans="1:6" x14ac:dyDescent="0.2">
      <c r="A33" s="8" t="s">
        <v>28</v>
      </c>
      <c r="B33" s="8">
        <v>0.13</v>
      </c>
      <c r="C33" s="8">
        <v>0.09</v>
      </c>
      <c r="D33" s="8">
        <v>0.16</v>
      </c>
      <c r="E33" s="8"/>
      <c r="F33" s="8" t="s">
        <v>15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5DE0-A705-D940-8171-EA2796AA3E4B}">
  <dimension ref="A1:D32"/>
  <sheetViews>
    <sheetView tabSelected="1" zoomScale="107" workbookViewId="0">
      <selection activeCell="E3" sqref="E3"/>
    </sheetView>
  </sheetViews>
  <sheetFormatPr baseColWidth="10" defaultColWidth="11" defaultRowHeight="16" x14ac:dyDescent="0.2"/>
  <cols>
    <col min="1" max="1" width="36.6640625" bestFit="1" customWidth="1"/>
    <col min="2" max="2" width="18.1640625" customWidth="1"/>
    <col min="6" max="8" width="12.1640625" bestFit="1" customWidth="1"/>
    <col min="9" max="9" width="14.5" bestFit="1" customWidth="1"/>
  </cols>
  <sheetData>
    <row r="1" spans="1:4" x14ac:dyDescent="0.2">
      <c r="A1" s="21" t="s">
        <v>74</v>
      </c>
      <c r="B1" s="21" t="s">
        <v>13</v>
      </c>
      <c r="C1" s="20" t="s">
        <v>1</v>
      </c>
      <c r="D1" s="10"/>
    </row>
    <row r="2" spans="1:4" x14ac:dyDescent="0.2">
      <c r="B2" s="6"/>
      <c r="C2" s="10"/>
      <c r="D2" s="10"/>
    </row>
    <row r="3" spans="1:4" x14ac:dyDescent="0.2">
      <c r="A3" s="2" t="s">
        <v>48</v>
      </c>
      <c r="B3" s="6"/>
      <c r="C3" s="10"/>
      <c r="D3" s="10"/>
    </row>
    <row r="4" spans="1:4" x14ac:dyDescent="0.2">
      <c r="A4" t="s">
        <v>39</v>
      </c>
      <c r="B4" s="4">
        <f>B5*'Adjust mortality (cp 1.1.1)'!J39</f>
        <v>0.14951352189851061</v>
      </c>
      <c r="C4" s="10" t="s">
        <v>78</v>
      </c>
      <c r="D4" s="10"/>
    </row>
    <row r="5" spans="1:4" x14ac:dyDescent="0.2">
      <c r="A5" t="s">
        <v>40</v>
      </c>
      <c r="B5" s="4">
        <v>0.18</v>
      </c>
      <c r="C5" s="10" t="s">
        <v>5</v>
      </c>
      <c r="D5" s="10"/>
    </row>
    <row r="6" spans="1:4" x14ac:dyDescent="0.2">
      <c r="A6" s="5" t="s">
        <v>41</v>
      </c>
      <c r="B6" s="4">
        <f>B7*'Adjust mortality (cp 1.1.1)'!J40</f>
        <v>7.2888225774702387E-2</v>
      </c>
      <c r="C6" s="10" t="s">
        <v>78</v>
      </c>
      <c r="D6" s="10"/>
    </row>
    <row r="7" spans="1:4" x14ac:dyDescent="0.2">
      <c r="A7" t="s">
        <v>42</v>
      </c>
      <c r="B7" s="4">
        <v>0.05</v>
      </c>
      <c r="C7" s="10" t="s">
        <v>5</v>
      </c>
      <c r="D7" s="10"/>
    </row>
    <row r="8" spans="1:4" x14ac:dyDescent="0.2">
      <c r="A8" t="s">
        <v>43</v>
      </c>
      <c r="B8" s="4">
        <f>B9*'Adjust mortality (cp 1.1.1)'!J41</f>
        <v>0.14064039843031062</v>
      </c>
      <c r="C8" s="10" t="s">
        <v>78</v>
      </c>
      <c r="D8" s="10"/>
    </row>
    <row r="9" spans="1:4" x14ac:dyDescent="0.2">
      <c r="A9" t="s">
        <v>44</v>
      </c>
      <c r="B9" s="4">
        <v>0.17</v>
      </c>
      <c r="C9" s="10" t="s">
        <v>5</v>
      </c>
      <c r="D9" s="10"/>
    </row>
    <row r="10" spans="1:4" x14ac:dyDescent="0.2">
      <c r="A10" s="5" t="s">
        <v>45</v>
      </c>
      <c r="B10" s="4">
        <f>B11*'Adjust mortality (cp 1.1.1)'!J42</f>
        <v>2.3152788177803491E-2</v>
      </c>
      <c r="C10" s="10" t="s">
        <v>78</v>
      </c>
      <c r="D10" s="10"/>
    </row>
    <row r="11" spans="1:4" x14ac:dyDescent="0.2">
      <c r="A11" t="s">
        <v>46</v>
      </c>
      <c r="B11" s="4">
        <v>0.02</v>
      </c>
      <c r="C11" s="10" t="s">
        <v>5</v>
      </c>
      <c r="D11" s="10"/>
    </row>
    <row r="12" spans="1:4" x14ac:dyDescent="0.2">
      <c r="B12" s="4"/>
      <c r="C12" s="10"/>
      <c r="D12" s="10"/>
    </row>
    <row r="13" spans="1:4" x14ac:dyDescent="0.2">
      <c r="A13" s="2" t="s">
        <v>47</v>
      </c>
      <c r="B13" s="4"/>
      <c r="C13" s="10"/>
      <c r="D13" s="10"/>
    </row>
    <row r="14" spans="1:4" x14ac:dyDescent="0.2">
      <c r="A14" t="s">
        <v>39</v>
      </c>
      <c r="B14" s="4">
        <f>(1-B4)*'Adjust receive trmt (cp 1.1.2)'!D13</f>
        <v>0.79282393578420807</v>
      </c>
      <c r="C14" s="10" t="s">
        <v>78</v>
      </c>
    </row>
    <row r="15" spans="1:4" x14ac:dyDescent="0.2">
      <c r="A15" t="s">
        <v>40</v>
      </c>
      <c r="B15" s="4">
        <f>(1-B5)*'Adjust receive trmt (cp 1.1.2)'!B13</f>
        <v>0.75925925925925919</v>
      </c>
      <c r="C15" s="10" t="s">
        <v>78</v>
      </c>
    </row>
    <row r="16" spans="1:4" x14ac:dyDescent="0.2">
      <c r="A16" s="5" t="s">
        <v>41</v>
      </c>
      <c r="B16" s="4">
        <f>(1-B6)*'Adjust receive trmt (cp 1.1.2)'!D14</f>
        <v>0.2818254758785993</v>
      </c>
      <c r="C16" s="10" t="s">
        <v>78</v>
      </c>
    </row>
    <row r="17" spans="1:4" x14ac:dyDescent="0.2">
      <c r="A17" t="s">
        <v>42</v>
      </c>
      <c r="B17" s="4">
        <f>(1-B7)*'Adjust receive trmt (cp 1.1.2)'!B14</f>
        <v>0.26999999999999996</v>
      </c>
      <c r="C17" s="10" t="s">
        <v>78</v>
      </c>
    </row>
    <row r="18" spans="1:4" x14ac:dyDescent="0.2">
      <c r="A18" t="s">
        <v>43</v>
      </c>
      <c r="B18" s="4">
        <f>(1-B8)*'Adjust receive trmt (cp 1.1.2)'!D15</f>
        <v>0.76181201772679386</v>
      </c>
      <c r="C18" s="10" t="s">
        <v>78</v>
      </c>
    </row>
    <row r="19" spans="1:4" x14ac:dyDescent="0.2">
      <c r="A19" t="s">
        <v>44</v>
      </c>
      <c r="B19" s="4">
        <f>(1-B9)*'Adjust receive trmt (cp 1.1.2)'!B15</f>
        <v>0.72753086419753088</v>
      </c>
      <c r="C19" s="10" t="s">
        <v>78</v>
      </c>
    </row>
    <row r="20" spans="1:4" x14ac:dyDescent="0.2">
      <c r="A20" s="5" t="s">
        <v>45</v>
      </c>
      <c r="B20" s="4">
        <f>(1-B10)*'Adjust receive trmt (cp 1.1.2)'!D16</f>
        <v>0.10964169330589731</v>
      </c>
      <c r="C20" s="10" t="s">
        <v>78</v>
      </c>
    </row>
    <row r="21" spans="1:4" x14ac:dyDescent="0.2">
      <c r="A21" t="s">
        <v>46</v>
      </c>
      <c r="B21" s="4">
        <f>(1-B11)*'Adjust receive trmt (cp 1.1.2)'!B16</f>
        <v>0.10103092783505155</v>
      </c>
      <c r="C21" s="10" t="s">
        <v>78</v>
      </c>
    </row>
    <row r="22" spans="1:4" x14ac:dyDescent="0.2">
      <c r="B22" s="4"/>
      <c r="C22" s="10"/>
      <c r="D22" s="10"/>
    </row>
    <row r="23" spans="1:4" x14ac:dyDescent="0.2">
      <c r="A23" s="2" t="s">
        <v>49</v>
      </c>
      <c r="B23" s="4"/>
      <c r="C23" s="10"/>
      <c r="D23" s="10"/>
    </row>
    <row r="24" spans="1:4" x14ac:dyDescent="0.2">
      <c r="A24" t="s">
        <v>39</v>
      </c>
      <c r="B24" s="4">
        <f t="shared" ref="B24:B31" si="0">1-B4-B14</f>
        <v>5.7662542317281296E-2</v>
      </c>
      <c r="C24" s="10" t="s">
        <v>78</v>
      </c>
      <c r="D24" s="10"/>
    </row>
    <row r="25" spans="1:4" x14ac:dyDescent="0.2">
      <c r="A25" t="s">
        <v>40</v>
      </c>
      <c r="B25" s="4">
        <f t="shared" si="0"/>
        <v>6.0740740740740873E-2</v>
      </c>
      <c r="C25" s="10" t="s">
        <v>78</v>
      </c>
      <c r="D25" s="10"/>
    </row>
    <row r="26" spans="1:4" x14ac:dyDescent="0.2">
      <c r="A26" s="5" t="s">
        <v>41</v>
      </c>
      <c r="B26" s="4">
        <f t="shared" si="0"/>
        <v>0.64528629834669837</v>
      </c>
      <c r="C26" s="10" t="s">
        <v>78</v>
      </c>
      <c r="D26" s="10"/>
    </row>
    <row r="27" spans="1:4" x14ac:dyDescent="0.2">
      <c r="A27" t="s">
        <v>42</v>
      </c>
      <c r="B27" s="4">
        <f t="shared" si="0"/>
        <v>0.67999999999999994</v>
      </c>
      <c r="C27" s="10" t="s">
        <v>78</v>
      </c>
      <c r="D27" s="10"/>
    </row>
    <row r="28" spans="1:4" x14ac:dyDescent="0.2">
      <c r="A28" t="s">
        <v>43</v>
      </c>
      <c r="B28" s="4">
        <f t="shared" si="0"/>
        <v>9.7547583842895524E-2</v>
      </c>
      <c r="C28" s="10" t="s">
        <v>78</v>
      </c>
      <c r="D28" s="10"/>
    </row>
    <row r="29" spans="1:4" x14ac:dyDescent="0.2">
      <c r="A29" t="s">
        <v>44</v>
      </c>
      <c r="B29" s="4">
        <f t="shared" si="0"/>
        <v>0.10246913580246908</v>
      </c>
      <c r="C29" s="10" t="s">
        <v>78</v>
      </c>
      <c r="D29" s="10"/>
    </row>
    <row r="30" spans="1:4" x14ac:dyDescent="0.2">
      <c r="A30" s="5" t="s">
        <v>45</v>
      </c>
      <c r="B30" s="4">
        <f t="shared" si="0"/>
        <v>0.86720551851629912</v>
      </c>
      <c r="C30" s="10" t="s">
        <v>78</v>
      </c>
      <c r="D30" s="10"/>
    </row>
    <row r="31" spans="1:4" x14ac:dyDescent="0.2">
      <c r="A31" t="s">
        <v>46</v>
      </c>
      <c r="B31" s="4">
        <f t="shared" si="0"/>
        <v>0.87896907216494846</v>
      </c>
      <c r="C31" s="10" t="s">
        <v>78</v>
      </c>
      <c r="D31" s="10"/>
    </row>
    <row r="32" spans="1:4" x14ac:dyDescent="0.2">
      <c r="B32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D247-28ED-404E-831C-B18E0D2C7052}">
  <dimension ref="A1:O42"/>
  <sheetViews>
    <sheetView zoomScaleNormal="110" workbookViewId="0">
      <selection activeCell="J6" sqref="J6"/>
    </sheetView>
  </sheetViews>
  <sheetFormatPr baseColWidth="10" defaultColWidth="11" defaultRowHeight="16" x14ac:dyDescent="0.2"/>
  <cols>
    <col min="1" max="1" width="34.83203125" bestFit="1" customWidth="1"/>
    <col min="2" max="2" width="19.5" bestFit="1" customWidth="1"/>
    <col min="3" max="3" width="13.1640625" bestFit="1" customWidth="1"/>
    <col min="4" max="4" width="11.33203125" bestFit="1" customWidth="1"/>
    <col min="5" max="5" width="11.83203125" bestFit="1" customWidth="1"/>
    <col min="6" max="6" width="14.6640625" customWidth="1"/>
    <col min="7" max="7" width="3" customWidth="1"/>
    <col min="8" max="8" width="34.83203125" bestFit="1" customWidth="1"/>
    <col min="9" max="9" width="19.5" bestFit="1" customWidth="1"/>
    <col min="10" max="10" width="13.1640625" bestFit="1" customWidth="1"/>
    <col min="11" max="12" width="11.33203125" bestFit="1" customWidth="1"/>
    <col min="13" max="13" width="14.6640625" customWidth="1"/>
    <col min="15" max="15" width="16.5" bestFit="1" customWidth="1"/>
  </cols>
  <sheetData>
    <row r="1" spans="1:13" x14ac:dyDescent="0.2">
      <c r="A1" s="40" t="s">
        <v>95</v>
      </c>
      <c r="B1" s="40"/>
      <c r="C1" s="40"/>
      <c r="D1" s="40"/>
      <c r="E1" s="40"/>
      <c r="F1" s="40"/>
      <c r="G1" s="13"/>
      <c r="H1" s="40" t="s">
        <v>96</v>
      </c>
      <c r="I1" s="40"/>
      <c r="J1" s="40"/>
      <c r="K1" s="40"/>
      <c r="L1" s="40"/>
      <c r="M1" s="40"/>
    </row>
    <row r="2" spans="1:13" x14ac:dyDescent="0.2">
      <c r="A2" s="2" t="s">
        <v>59</v>
      </c>
      <c r="B2" s="2" t="s">
        <v>60</v>
      </c>
      <c r="C2" s="2" t="s">
        <v>13</v>
      </c>
      <c r="D2" s="12" t="s">
        <v>4</v>
      </c>
      <c r="G2" s="13"/>
      <c r="H2" s="2" t="s">
        <v>59</v>
      </c>
      <c r="I2" s="2" t="s">
        <v>60</v>
      </c>
      <c r="J2" s="2" t="s">
        <v>13</v>
      </c>
      <c r="K2" s="12" t="s">
        <v>4</v>
      </c>
    </row>
    <row r="3" spans="1:13" x14ac:dyDescent="0.2">
      <c r="A3" t="s">
        <v>40</v>
      </c>
      <c r="B3" t="str">
        <f>"- smear.neg.symp.neg"</f>
        <v>- smear.neg.symp.neg</v>
      </c>
      <c r="C3" s="37">
        <v>0.1649591435999915</v>
      </c>
      <c r="D3" s="10" t="s">
        <v>5</v>
      </c>
      <c r="G3" s="13"/>
      <c r="H3" t="s">
        <v>39</v>
      </c>
      <c r="I3" t="str">
        <f>"- smear.neg.symp.neg"</f>
        <v>- smear.neg.symp.neg</v>
      </c>
      <c r="J3" s="6">
        <f>C3*$C$23</f>
        <v>5.1224155117892099E-2</v>
      </c>
      <c r="K3" s="10" t="s">
        <v>89</v>
      </c>
    </row>
    <row r="4" spans="1:13" x14ac:dyDescent="0.2">
      <c r="A4" t="s">
        <v>40</v>
      </c>
      <c r="B4" t="str">
        <f>"- smear.pos.symp.neg"</f>
        <v>- smear.pos.symp.neg</v>
      </c>
      <c r="C4" s="37">
        <v>4.3959279657999808</v>
      </c>
      <c r="D4" s="10" t="s">
        <v>5</v>
      </c>
      <c r="G4" s="13"/>
      <c r="H4" t="s">
        <v>39</v>
      </c>
      <c r="I4" t="str">
        <f>"- smear.pos.symp.neg"</f>
        <v>- smear.pos.symp.neg</v>
      </c>
      <c r="J4" s="6">
        <f t="shared" ref="J4:J6" si="0">C4*$C$23</f>
        <v>1.3650513156957835</v>
      </c>
      <c r="K4" s="10" t="s">
        <v>89</v>
      </c>
    </row>
    <row r="5" spans="1:13" x14ac:dyDescent="0.2">
      <c r="A5" t="s">
        <v>40</v>
      </c>
      <c r="B5" t="str">
        <f>"- smear.neg.symp.pos"</f>
        <v>- smear.neg.symp.pos</v>
      </c>
      <c r="C5" s="37">
        <v>0.11217689480000211</v>
      </c>
      <c r="D5" s="10" t="s">
        <v>5</v>
      </c>
      <c r="G5" s="13"/>
      <c r="H5" t="s">
        <v>39</v>
      </c>
      <c r="I5" t="str">
        <f>"- smear.neg.symp.pos"</f>
        <v>- smear.neg.symp.pos</v>
      </c>
      <c r="J5" s="6">
        <f t="shared" si="0"/>
        <v>3.4833877858948023E-2</v>
      </c>
      <c r="K5" s="10" t="s">
        <v>89</v>
      </c>
    </row>
    <row r="6" spans="1:13" x14ac:dyDescent="0.2">
      <c r="A6" t="s">
        <v>40</v>
      </c>
      <c r="B6" t="str">
        <f>"- smear.pos.symp.pos"</f>
        <v>- smear.pos.symp.pos</v>
      </c>
      <c r="C6" s="37">
        <v>6.2788880301998722</v>
      </c>
      <c r="D6" s="10" t="s">
        <v>5</v>
      </c>
      <c r="G6" s="13"/>
      <c r="H6" t="s">
        <v>39</v>
      </c>
      <c r="I6" t="str">
        <f>"- smear.pos.symp.pos"</f>
        <v>- smear.pos.symp.pos</v>
      </c>
      <c r="J6" s="6">
        <f t="shared" si="0"/>
        <v>1.949759967272592</v>
      </c>
      <c r="K6" s="10" t="s">
        <v>89</v>
      </c>
    </row>
    <row r="7" spans="1:13" x14ac:dyDescent="0.2">
      <c r="C7" s="6"/>
      <c r="D7" s="10"/>
      <c r="G7" s="13"/>
      <c r="J7" s="6"/>
      <c r="K7" s="10"/>
    </row>
    <row r="8" spans="1:13" x14ac:dyDescent="0.2">
      <c r="A8" s="5" t="s">
        <v>42</v>
      </c>
      <c r="B8" t="str">
        <f>"- smear.neg.symp.neg"</f>
        <v>- smear.neg.symp.neg</v>
      </c>
      <c r="C8" s="37">
        <v>1.993709268999815</v>
      </c>
      <c r="D8" s="10" t="s">
        <v>5</v>
      </c>
      <c r="G8" s="13"/>
      <c r="H8" s="5" t="s">
        <v>41</v>
      </c>
      <c r="I8" t="str">
        <f>"- smear.neg.symp.neg"</f>
        <v>- smear.neg.symp.neg</v>
      </c>
      <c r="J8" s="6">
        <f t="shared" ref="J8:J11" si="1">C8*$C$23</f>
        <v>0.61909919405783731</v>
      </c>
      <c r="K8" s="10" t="s">
        <v>89</v>
      </c>
    </row>
    <row r="9" spans="1:13" x14ac:dyDescent="0.2">
      <c r="A9" s="5" t="s">
        <v>42</v>
      </c>
      <c r="B9" t="str">
        <f>"- smear.pos.symp.neg"</f>
        <v>- smear.pos.symp.neg</v>
      </c>
      <c r="C9" s="37">
        <v>1.1894685134000131</v>
      </c>
      <c r="D9" s="10" t="s">
        <v>5</v>
      </c>
      <c r="G9" s="13"/>
      <c r="H9" s="5" t="s">
        <v>41</v>
      </c>
      <c r="I9" t="str">
        <f>"- smear.pos.symp.neg"</f>
        <v>- smear.pos.symp.neg</v>
      </c>
      <c r="J9" s="6">
        <f t="shared" si="1"/>
        <v>0.36936127521368833</v>
      </c>
      <c r="K9" s="10" t="s">
        <v>89</v>
      </c>
    </row>
    <row r="10" spans="1:13" x14ac:dyDescent="0.2">
      <c r="A10" s="5" t="s">
        <v>42</v>
      </c>
      <c r="B10" t="str">
        <f>"- smear.neg.symp.pos"</f>
        <v>- smear.neg.symp.pos</v>
      </c>
      <c r="C10" s="37">
        <v>3.1230631612001352</v>
      </c>
      <c r="D10" s="10" t="s">
        <v>5</v>
      </c>
      <c r="G10" s="13"/>
      <c r="H10" s="5" t="s">
        <v>41</v>
      </c>
      <c r="I10" t="str">
        <f>"- smear.neg.symp.pos"</f>
        <v>- smear.neg.symp.pos</v>
      </c>
      <c r="J10" s="6">
        <f t="shared" si="1"/>
        <v>0.96979329742530518</v>
      </c>
      <c r="K10" s="10" t="s">
        <v>89</v>
      </c>
    </row>
    <row r="11" spans="1:13" x14ac:dyDescent="0.2">
      <c r="A11" s="5" t="s">
        <v>42</v>
      </c>
      <c r="B11" t="str">
        <f>"- smear.pos.symp.pos"</f>
        <v>- smear.pos.symp.pos</v>
      </c>
      <c r="C11" s="37">
        <v>1.2801270816000014</v>
      </c>
      <c r="D11" s="10" t="s">
        <v>5</v>
      </c>
      <c r="G11" s="13"/>
      <c r="H11" s="5" t="s">
        <v>41</v>
      </c>
      <c r="I11" t="str">
        <f>"- smear.pos.symp.pos"</f>
        <v>- smear.pos.symp.pos</v>
      </c>
      <c r="J11" s="6">
        <f t="shared" si="1"/>
        <v>0.39751314639157942</v>
      </c>
      <c r="K11" s="10" t="s">
        <v>89</v>
      </c>
    </row>
    <row r="12" spans="1:13" x14ac:dyDescent="0.2">
      <c r="A12" s="5"/>
      <c r="B12" s="5"/>
      <c r="C12" s="6"/>
      <c r="D12" s="10"/>
      <c r="G12" s="13"/>
      <c r="H12" s="5"/>
      <c r="I12" s="5"/>
      <c r="J12" s="6"/>
      <c r="K12" s="10"/>
    </row>
    <row r="13" spans="1:13" x14ac:dyDescent="0.2">
      <c r="A13" t="s">
        <v>44</v>
      </c>
      <c r="B13" t="str">
        <f>"- smear.neg.symp.neg"</f>
        <v>- smear.neg.symp.neg</v>
      </c>
      <c r="C13" s="37">
        <v>0.29048152340000738</v>
      </c>
      <c r="D13" s="10" t="s">
        <v>5</v>
      </c>
      <c r="G13" s="13"/>
      <c r="H13" t="s">
        <v>43</v>
      </c>
      <c r="I13" t="str">
        <f>"- smear.neg.symp.neg"</f>
        <v>- smear.neg.symp.neg</v>
      </c>
      <c r="J13" s="6">
        <f t="shared" ref="J13:J16" si="2">C13*$C$23</f>
        <v>9.0202157266318084E-2</v>
      </c>
      <c r="K13" s="10" t="s">
        <v>89</v>
      </c>
    </row>
    <row r="14" spans="1:13" x14ac:dyDescent="0.2">
      <c r="A14" t="s">
        <v>44</v>
      </c>
      <c r="B14" t="str">
        <f>"- smear.pos.symp.neg"</f>
        <v>- smear.pos.symp.neg</v>
      </c>
      <c r="C14" s="37">
        <v>9.563082479000208</v>
      </c>
      <c r="D14" s="10" t="s">
        <v>5</v>
      </c>
      <c r="G14" s="13"/>
      <c r="H14" t="s">
        <v>43</v>
      </c>
      <c r="I14" t="str">
        <f>"- smear.pos.symp.neg"</f>
        <v>- smear.pos.symp.neg</v>
      </c>
      <c r="J14" s="6">
        <f>C14*$C$23</f>
        <v>2.9695887697948016</v>
      </c>
      <c r="K14" s="10" t="s">
        <v>89</v>
      </c>
    </row>
    <row r="15" spans="1:13" x14ac:dyDescent="0.2">
      <c r="A15" t="s">
        <v>44</v>
      </c>
      <c r="B15" t="str">
        <f>"- smear.neg.symp.pos"</f>
        <v>- smear.neg.symp.pos</v>
      </c>
      <c r="C15" s="37">
        <v>0.14313341900000712</v>
      </c>
      <c r="D15" s="10" t="s">
        <v>5</v>
      </c>
      <c r="G15" s="13"/>
      <c r="H15" t="s">
        <v>43</v>
      </c>
      <c r="I15" t="str">
        <f>"- smear.neg.symp.pos"</f>
        <v>- smear.neg.symp.pos</v>
      </c>
      <c r="J15" s="6">
        <f t="shared" si="2"/>
        <v>4.4446693268423265E-2</v>
      </c>
      <c r="K15" s="10" t="s">
        <v>89</v>
      </c>
    </row>
    <row r="16" spans="1:13" x14ac:dyDescent="0.2">
      <c r="A16" t="s">
        <v>44</v>
      </c>
      <c r="B16" t="str">
        <f>"- smear.pos.symp.pos"</f>
        <v>- smear.pos.symp.pos</v>
      </c>
      <c r="C16" s="37">
        <v>5.9195611170000113</v>
      </c>
      <c r="D16" s="10" t="s">
        <v>5</v>
      </c>
      <c r="G16" s="13"/>
      <c r="H16" t="s">
        <v>43</v>
      </c>
      <c r="I16" t="str">
        <f>"- smear.pos.symp.pos"</f>
        <v>- smear.pos.symp.pos</v>
      </c>
      <c r="J16" s="6">
        <f t="shared" si="2"/>
        <v>1.8381795047526353</v>
      </c>
      <c r="K16" s="10" t="s">
        <v>89</v>
      </c>
    </row>
    <row r="17" spans="1:13" x14ac:dyDescent="0.2">
      <c r="C17" s="6"/>
      <c r="D17" s="10"/>
      <c r="G17" s="13"/>
      <c r="J17" s="6"/>
      <c r="K17" s="10"/>
    </row>
    <row r="18" spans="1:13" x14ac:dyDescent="0.2">
      <c r="A18" s="5" t="s">
        <v>46</v>
      </c>
      <c r="B18" t="str">
        <f>"- smear.neg.symp.neg"</f>
        <v>- smear.neg.symp.neg</v>
      </c>
      <c r="C18" s="37">
        <v>2.5490408259999602</v>
      </c>
      <c r="D18" s="10" t="s">
        <v>5</v>
      </c>
      <c r="G18" s="13"/>
      <c r="H18" s="5" t="s">
        <v>45</v>
      </c>
      <c r="I18" t="str">
        <f>"- smear.neg.symp.neg"</f>
        <v>- smear.neg.symp.neg</v>
      </c>
      <c r="J18" s="6">
        <f t="shared" ref="J18:J21" si="3">C18*$C$23</f>
        <v>0.79154425649472449</v>
      </c>
      <c r="K18" s="10" t="s">
        <v>89</v>
      </c>
    </row>
    <row r="19" spans="1:13" x14ac:dyDescent="0.2">
      <c r="A19" s="5" t="s">
        <v>46</v>
      </c>
      <c r="B19" t="str">
        <f>"- smear.pos.symp.neg"</f>
        <v>- smear.pos.symp.neg</v>
      </c>
      <c r="C19" s="37">
        <v>0.85386776320002189</v>
      </c>
      <c r="D19" s="10" t="s">
        <v>5</v>
      </c>
      <c r="G19" s="13"/>
      <c r="H19" s="5" t="s">
        <v>45</v>
      </c>
      <c r="I19" t="str">
        <f>"- smear.pos.symp.neg"</f>
        <v>- smear.pos.symp.neg</v>
      </c>
      <c r="J19" s="6">
        <f t="shared" si="3"/>
        <v>0.26514841067790157</v>
      </c>
      <c r="K19" s="10" t="s">
        <v>89</v>
      </c>
    </row>
    <row r="20" spans="1:13" x14ac:dyDescent="0.2">
      <c r="A20" s="5" t="s">
        <v>46</v>
      </c>
      <c r="B20" t="str">
        <f>"- smear.neg.symp.pos"</f>
        <v>- smear.neg.symp.pos</v>
      </c>
      <c r="C20" s="37">
        <v>0.77927126939998492</v>
      </c>
      <c r="D20" s="10" t="s">
        <v>5</v>
      </c>
      <c r="G20" s="13"/>
      <c r="H20" s="5" t="s">
        <v>45</v>
      </c>
      <c r="I20" t="str">
        <f>"- smear.neg.symp.pos"</f>
        <v>- smear.neg.symp.pos</v>
      </c>
      <c r="J20" s="6">
        <f t="shared" si="3"/>
        <v>0.24198423628736376</v>
      </c>
      <c r="K20" s="10" t="s">
        <v>89</v>
      </c>
    </row>
    <row r="21" spans="1:13" x14ac:dyDescent="0.2">
      <c r="A21" s="5" t="s">
        <v>46</v>
      </c>
      <c r="B21" t="str">
        <f>"- smear.pos.symp.pos"</f>
        <v>- smear.pos.symp.pos</v>
      </c>
      <c r="C21" s="37">
        <v>0.65620480440001561</v>
      </c>
      <c r="D21" s="10" t="s">
        <v>5</v>
      </c>
      <c r="G21" s="13"/>
      <c r="H21" s="5" t="s">
        <v>45</v>
      </c>
      <c r="I21" t="str">
        <f>"- smear.pos.symp.pos"</f>
        <v>- smear.pos.symp.pos</v>
      </c>
      <c r="J21" s="6">
        <f t="shared" si="3"/>
        <v>0.20376886031368907</v>
      </c>
      <c r="K21" s="10" t="s">
        <v>89</v>
      </c>
    </row>
    <row r="22" spans="1:13" x14ac:dyDescent="0.2">
      <c r="G22" s="13"/>
    </row>
    <row r="23" spans="1:13" x14ac:dyDescent="0.2">
      <c r="A23" s="2" t="s">
        <v>58</v>
      </c>
      <c r="B23" s="2"/>
      <c r="C23" s="4">
        <f>6.49/20.9</f>
        <v>0.31052631578947371</v>
      </c>
      <c r="D23" s="10" t="s">
        <v>3</v>
      </c>
      <c r="G23" s="13"/>
      <c r="H23" s="2"/>
      <c r="I23" s="2"/>
      <c r="J23" s="4"/>
      <c r="K23" s="6"/>
      <c r="M23" s="10"/>
    </row>
    <row r="24" spans="1:13" x14ac:dyDescent="0.2">
      <c r="G24" s="13"/>
    </row>
    <row r="25" spans="1:13" x14ac:dyDescent="0.2">
      <c r="A25" s="40" t="s">
        <v>93</v>
      </c>
      <c r="B25" s="40"/>
      <c r="C25" s="40"/>
      <c r="D25" s="40"/>
      <c r="E25" s="40"/>
      <c r="F25" s="40"/>
      <c r="G25" s="13"/>
      <c r="H25" s="40" t="s">
        <v>94</v>
      </c>
      <c r="I25" s="40"/>
      <c r="J25" s="40"/>
      <c r="K25" s="40"/>
      <c r="L25" s="40"/>
      <c r="M25" s="40"/>
    </row>
    <row r="26" spans="1:13" x14ac:dyDescent="0.2">
      <c r="G26" s="13"/>
    </row>
    <row r="27" spans="1:13" x14ac:dyDescent="0.2">
      <c r="C27" t="s">
        <v>63</v>
      </c>
      <c r="D27" t="s">
        <v>61</v>
      </c>
      <c r="E27" t="s">
        <v>62</v>
      </c>
      <c r="F27" s="12" t="s">
        <v>4</v>
      </c>
      <c r="G27" s="13"/>
      <c r="J27" t="s">
        <v>53</v>
      </c>
      <c r="K27" t="s">
        <v>61</v>
      </c>
      <c r="L27" t="s">
        <v>62</v>
      </c>
      <c r="M27" s="12" t="s">
        <v>4</v>
      </c>
    </row>
    <row r="28" spans="1:13" x14ac:dyDescent="0.2">
      <c r="A28" s="44" t="s">
        <v>52</v>
      </c>
      <c r="B28" s="44"/>
      <c r="C28" s="4">
        <f>0.0078</f>
        <v>7.7999999999999996E-3</v>
      </c>
      <c r="D28" s="4">
        <f>C28/12</f>
        <v>6.4999999999999997E-4</v>
      </c>
      <c r="E28" s="4">
        <f>1-EXP(-D28)</f>
        <v>6.4978879576338411E-4</v>
      </c>
      <c r="F28" s="10" t="s">
        <v>7</v>
      </c>
      <c r="G28" s="13"/>
      <c r="H28" s="44" t="s">
        <v>66</v>
      </c>
      <c r="I28" s="44"/>
      <c r="J28" s="4">
        <f>C28+0.00539916467777067</f>
        <v>1.3199164677770669E-2</v>
      </c>
      <c r="K28" s="18">
        <f>J28/12</f>
        <v>1.0999303898142224E-3</v>
      </c>
      <c r="L28" s="6">
        <f>1-EXP(-K28)</f>
        <v>1.0993256881132174E-3</v>
      </c>
      <c r="M28" s="10" t="s">
        <v>90</v>
      </c>
    </row>
    <row r="29" spans="1:13" x14ac:dyDescent="0.2">
      <c r="A29" s="44" t="s">
        <v>54</v>
      </c>
      <c r="B29" s="44"/>
      <c r="C29" s="4">
        <f>D29*12</f>
        <v>6.7120131287891183E-2</v>
      </c>
      <c r="D29" s="4">
        <f>D28-LN(1-0.00493114605595978)</f>
        <v>5.5933442739909325E-3</v>
      </c>
      <c r="E29" s="4">
        <f>1-EXP(-D29)</f>
        <v>5.5777306482657218E-3</v>
      </c>
      <c r="F29" s="10" t="s">
        <v>91</v>
      </c>
      <c r="G29" s="13"/>
      <c r="H29" s="44" t="s">
        <v>64</v>
      </c>
      <c r="I29" s="44"/>
      <c r="J29" s="4">
        <f>K29*12</f>
        <v>0.67251929596566185</v>
      </c>
      <c r="K29" s="18">
        <f>0.05+K28-LN(1-0.00493114605595978)</f>
        <v>5.6043274663805154E-2</v>
      </c>
      <c r="L29" s="6">
        <f>1-EXP(-K29)</f>
        <v>5.4501781112482828E-2</v>
      </c>
      <c r="M29" s="10" t="s">
        <v>92</v>
      </c>
    </row>
    <row r="30" spans="1:13" x14ac:dyDescent="0.2">
      <c r="A30" s="44" t="s">
        <v>55</v>
      </c>
      <c r="B30" s="44"/>
      <c r="C30" s="4">
        <f>D30*12</f>
        <v>0.37411261765674242</v>
      </c>
      <c r="D30" s="4">
        <f>D28-LN(1-0.0300648365000968)</f>
        <v>3.11760514713952E-2</v>
      </c>
      <c r="E30" s="4">
        <f>1-EXP(-D30)</f>
        <v>3.0695089501955986E-2</v>
      </c>
      <c r="F30" s="10" t="s">
        <v>91</v>
      </c>
      <c r="G30" s="13"/>
      <c r="H30" s="44" t="s">
        <v>65</v>
      </c>
      <c r="I30" s="44"/>
      <c r="J30" s="4">
        <f>K30*12</f>
        <v>0.97951178233451308</v>
      </c>
      <c r="K30" s="18">
        <f>0.05+K28-LN(1-0.0300648365000968)</f>
        <v>8.1625981861209423E-2</v>
      </c>
      <c r="L30" s="6">
        <f>1-EXP(-K30)</f>
        <v>7.8383404434137161E-2</v>
      </c>
      <c r="M30" s="10" t="s">
        <v>92</v>
      </c>
    </row>
    <row r="31" spans="1:13" x14ac:dyDescent="0.2">
      <c r="A31" s="2"/>
      <c r="B31" s="2"/>
      <c r="C31" s="4"/>
      <c r="D31" s="6"/>
      <c r="G31" s="13"/>
    </row>
    <row r="32" spans="1:13" x14ac:dyDescent="0.2">
      <c r="A32" s="2" t="s">
        <v>59</v>
      </c>
      <c r="C32" s="2" t="s">
        <v>13</v>
      </c>
      <c r="D32" s="2"/>
      <c r="E32" s="2"/>
      <c r="F32" s="12"/>
      <c r="G32" s="13"/>
      <c r="J32" s="2" t="s">
        <v>13</v>
      </c>
      <c r="K32" s="2"/>
      <c r="L32" s="2"/>
      <c r="M32" s="12"/>
    </row>
    <row r="33" spans="1:15" x14ac:dyDescent="0.2">
      <c r="A33" s="41" t="s">
        <v>40</v>
      </c>
      <c r="B33" s="41"/>
      <c r="C33" s="6">
        <f>1-EXP(-1*(SUM(C3:C4)*$D$28+C5*$D$29+C6*$D$30))</f>
        <v>0.18073112886908738</v>
      </c>
      <c r="D33" s="4"/>
      <c r="E33" s="4"/>
      <c r="F33" s="10"/>
      <c r="G33" s="13"/>
      <c r="H33" s="41" t="s">
        <v>39</v>
      </c>
      <c r="I33" s="41"/>
      <c r="J33" s="16">
        <f>1-EXP(-1*(SUM(J3:J4)*$K$28+J5*$K$29+J6*$K$30))</f>
        <v>0.15012081996617133</v>
      </c>
      <c r="K33" s="4"/>
      <c r="L33" s="4"/>
      <c r="M33" s="10"/>
      <c r="O33" s="14"/>
    </row>
    <row r="34" spans="1:15" x14ac:dyDescent="0.2">
      <c r="A34" s="41" t="s">
        <v>42</v>
      </c>
      <c r="B34" s="41"/>
      <c r="C34" s="6">
        <f>1-EXP(-1*(SUM(C8:C9)*$D$28+C10*$D$29+C11*$D$30))</f>
        <v>5.7714282356449043E-2</v>
      </c>
      <c r="D34" s="4"/>
      <c r="E34" s="4"/>
      <c r="F34" s="10"/>
      <c r="G34" s="13"/>
      <c r="H34" s="41" t="s">
        <v>41</v>
      </c>
      <c r="I34" s="41"/>
      <c r="J34" s="16">
        <f>1-EXP(-1*(SUM(J8:J9)*$K$28+J10*$K$29+J11*$K$30))</f>
        <v>8.4133832856435609E-2</v>
      </c>
      <c r="K34" s="4"/>
      <c r="L34" s="4"/>
      <c r="M34" s="10"/>
      <c r="O34" s="14"/>
    </row>
    <row r="35" spans="1:15" x14ac:dyDescent="0.2">
      <c r="A35" s="41" t="s">
        <v>44</v>
      </c>
      <c r="B35" s="41"/>
      <c r="C35" s="6">
        <f>1-EXP(-1*(SUM(C13:C14)*$D$28+C15*$D$29+C16*$D$30))</f>
        <v>0.17449004237991361</v>
      </c>
      <c r="D35" s="4"/>
      <c r="E35" s="4"/>
      <c r="F35" s="10"/>
      <c r="G35" s="13"/>
      <c r="H35" s="41" t="s">
        <v>43</v>
      </c>
      <c r="I35" s="41"/>
      <c r="J35" s="16">
        <f>1-EXP(-1*(SUM(J13:J14)*$K$28+J15*$K$29+J16*$K$30))</f>
        <v>0.14435499460254608</v>
      </c>
      <c r="K35" s="4"/>
      <c r="L35" s="4"/>
      <c r="M35" s="10"/>
      <c r="O35" s="14"/>
    </row>
    <row r="36" spans="1:15" x14ac:dyDescent="0.2">
      <c r="A36" s="41" t="s">
        <v>46</v>
      </c>
      <c r="B36" s="41"/>
      <c r="C36" s="6">
        <f>1-EXP(-1*(SUM(C18:C19)*$D$28+C20*$D$29+C21*$D$30))</f>
        <v>2.6666496766837744E-2</v>
      </c>
      <c r="D36" s="4"/>
      <c r="E36" s="4"/>
      <c r="F36" s="10"/>
      <c r="G36" s="13"/>
      <c r="H36" s="41" t="s">
        <v>45</v>
      </c>
      <c r="I36" s="41"/>
      <c r="J36" s="16">
        <f>1-EXP(-1*(SUM(J18:J19)*$K$28+J20*$K$29+J21*$K$30))</f>
        <v>3.0870187554333794E-2</v>
      </c>
      <c r="K36" s="4"/>
      <c r="L36" s="4"/>
      <c r="M36" s="10"/>
      <c r="O36" s="14"/>
    </row>
    <row r="37" spans="1:15" ht="17" thickBot="1" x14ac:dyDescent="0.25"/>
    <row r="38" spans="1:15" x14ac:dyDescent="0.2">
      <c r="H38" s="22"/>
      <c r="I38" s="42" t="s">
        <v>75</v>
      </c>
      <c r="J38" s="42"/>
      <c r="K38" s="42"/>
      <c r="L38" s="43"/>
      <c r="M38" s="2"/>
    </row>
    <row r="39" spans="1:15" x14ac:dyDescent="0.2">
      <c r="D39" s="15"/>
      <c r="H39" s="23" t="s">
        <v>69</v>
      </c>
      <c r="J39" s="16">
        <f>J33/C33</f>
        <v>0.83063067721394779</v>
      </c>
      <c r="L39" s="24"/>
    </row>
    <row r="40" spans="1:15" x14ac:dyDescent="0.2">
      <c r="H40" s="23" t="s">
        <v>70</v>
      </c>
      <c r="J40" s="16">
        <f>J34/C34</f>
        <v>1.4577645154940477</v>
      </c>
      <c r="L40" s="24"/>
    </row>
    <row r="41" spans="1:15" x14ac:dyDescent="0.2">
      <c r="H41" s="23" t="s">
        <v>71</v>
      </c>
      <c r="J41" s="16">
        <f t="shared" ref="J41:J42" si="4">J35/C35</f>
        <v>0.82729646135476831</v>
      </c>
      <c r="L41" s="24"/>
    </row>
    <row r="42" spans="1:15" ht="17" thickBot="1" x14ac:dyDescent="0.25">
      <c r="H42" s="25" t="s">
        <v>72</v>
      </c>
      <c r="I42" s="26"/>
      <c r="J42" s="27">
        <f t="shared" si="4"/>
        <v>1.1576394088901745</v>
      </c>
      <c r="K42" s="26"/>
      <c r="L42" s="28"/>
    </row>
  </sheetData>
  <mergeCells count="19">
    <mergeCell ref="I38:L38"/>
    <mergeCell ref="A36:B36"/>
    <mergeCell ref="H28:I28"/>
    <mergeCell ref="H29:I29"/>
    <mergeCell ref="H30:I30"/>
    <mergeCell ref="H33:I33"/>
    <mergeCell ref="H34:I34"/>
    <mergeCell ref="H35:I35"/>
    <mergeCell ref="H36:I36"/>
    <mergeCell ref="A28:B28"/>
    <mergeCell ref="A29:B29"/>
    <mergeCell ref="A30:B30"/>
    <mergeCell ref="A33:B33"/>
    <mergeCell ref="A34:B34"/>
    <mergeCell ref="A1:F1"/>
    <mergeCell ref="H1:M1"/>
    <mergeCell ref="A25:F25"/>
    <mergeCell ref="H25:M25"/>
    <mergeCell ref="A35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B16D-387F-F141-9C24-1866037319C9}">
  <dimension ref="A1:F16"/>
  <sheetViews>
    <sheetView workbookViewId="0">
      <selection activeCell="F11" sqref="F11"/>
    </sheetView>
  </sheetViews>
  <sheetFormatPr baseColWidth="10" defaultRowHeight="16" x14ac:dyDescent="0.2"/>
  <cols>
    <col min="1" max="1" width="25.6640625" customWidth="1"/>
    <col min="2" max="3" width="22" customWidth="1"/>
    <col min="4" max="4" width="27" customWidth="1"/>
    <col min="6" max="6" width="21.5" customWidth="1"/>
    <col min="7" max="7" width="13.83203125" customWidth="1"/>
  </cols>
  <sheetData>
    <row r="1" spans="1:6" ht="17" x14ac:dyDescent="0.2">
      <c r="C1" s="33" t="s">
        <v>1</v>
      </c>
    </row>
    <row r="2" spans="1:6" ht="34" x14ac:dyDescent="0.2">
      <c r="A2" s="29" t="s">
        <v>76</v>
      </c>
      <c r="B2">
        <f>(71/29)/(69/31)</f>
        <v>1.0999500249875063</v>
      </c>
      <c r="C2" s="38" t="s">
        <v>3</v>
      </c>
    </row>
    <row r="4" spans="1:6" x14ac:dyDescent="0.2">
      <c r="A4" s="11"/>
    </row>
    <row r="5" spans="1:6" ht="85" x14ac:dyDescent="0.2">
      <c r="A5" s="32" t="s">
        <v>59</v>
      </c>
      <c r="B5" s="30" t="s">
        <v>100</v>
      </c>
      <c r="C5" s="31" t="s">
        <v>99</v>
      </c>
      <c r="D5" s="33" t="s">
        <v>1</v>
      </c>
    </row>
    <row r="6" spans="1:6" x14ac:dyDescent="0.2">
      <c r="A6" t="s">
        <v>69</v>
      </c>
      <c r="B6" s="4">
        <v>0.75</v>
      </c>
      <c r="C6" s="4">
        <v>0.06</v>
      </c>
      <c r="D6" s="39" t="s">
        <v>5</v>
      </c>
    </row>
    <row r="7" spans="1:6" x14ac:dyDescent="0.2">
      <c r="A7" t="s">
        <v>69</v>
      </c>
      <c r="B7" s="4">
        <v>0.27</v>
      </c>
      <c r="C7" s="4">
        <v>0.68</v>
      </c>
      <c r="D7" s="39" t="s">
        <v>5</v>
      </c>
    </row>
    <row r="8" spans="1:6" x14ac:dyDescent="0.2">
      <c r="A8" t="s">
        <v>69</v>
      </c>
      <c r="B8" s="4">
        <v>0.71</v>
      </c>
      <c r="C8" s="4">
        <v>0.1</v>
      </c>
      <c r="D8" s="39" t="s">
        <v>5</v>
      </c>
    </row>
    <row r="9" spans="1:6" x14ac:dyDescent="0.2">
      <c r="A9" t="s">
        <v>69</v>
      </c>
      <c r="B9" s="4">
        <v>0.1</v>
      </c>
      <c r="C9" s="4">
        <v>0.87</v>
      </c>
      <c r="D9" s="39" t="s">
        <v>5</v>
      </c>
    </row>
    <row r="11" spans="1:6" ht="17" thickBot="1" x14ac:dyDescent="0.25"/>
    <row r="12" spans="1:6" ht="119" x14ac:dyDescent="0.2">
      <c r="A12" s="32" t="s">
        <v>59</v>
      </c>
      <c r="B12" s="31" t="s">
        <v>97</v>
      </c>
      <c r="C12" s="31" t="s">
        <v>77</v>
      </c>
      <c r="D12" s="34" t="s">
        <v>98</v>
      </c>
      <c r="E12" s="17"/>
      <c r="F12" s="17"/>
    </row>
    <row r="13" spans="1:6" x14ac:dyDescent="0.2">
      <c r="A13" t="s">
        <v>69</v>
      </c>
      <c r="B13" s="4">
        <f>B6/(B6+C6)</f>
        <v>0.92592592592592582</v>
      </c>
      <c r="C13" s="4">
        <f>(B13/(1-B13))*$B$2</f>
        <v>13.749375312343806</v>
      </c>
      <c r="D13" s="35">
        <f>C13/(1+C13)</f>
        <v>0.93220051840683071</v>
      </c>
    </row>
    <row r="14" spans="1:6" x14ac:dyDescent="0.2">
      <c r="A14" t="s">
        <v>69</v>
      </c>
      <c r="B14" s="4">
        <f>B7/(B7+C7)</f>
        <v>0.28421052631578947</v>
      </c>
      <c r="C14" s="4">
        <f>(B14/(1-B14))*$B$2</f>
        <v>0.43674486286268627</v>
      </c>
      <c r="D14" s="35">
        <f>C14/(1+C14)</f>
        <v>0.30398219903322338</v>
      </c>
    </row>
    <row r="15" spans="1:6" x14ac:dyDescent="0.2">
      <c r="A15" t="s">
        <v>69</v>
      </c>
      <c r="B15" s="4">
        <f>B8/(B8+C8)</f>
        <v>0.87654320987654322</v>
      </c>
      <c r="C15" s="4">
        <f>(B15/(1-B15))*$B$2</f>
        <v>7.8096451774112952</v>
      </c>
      <c r="D15" s="35">
        <f>C15/(1+C15)</f>
        <v>0.88648805032873657</v>
      </c>
    </row>
    <row r="16" spans="1:6" ht="17" thickBot="1" x14ac:dyDescent="0.25">
      <c r="A16" t="s">
        <v>69</v>
      </c>
      <c r="B16" s="4">
        <f>B9/(B9+C9)</f>
        <v>0.10309278350515465</v>
      </c>
      <c r="C16" s="4">
        <f>(B16/(1-B16))*$B$2</f>
        <v>0.12643103735488578</v>
      </c>
      <c r="D16" s="36">
        <f>C16/(1+C16)</f>
        <v>0.11224037083688175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7E9DF-687B-214D-A161-F40441FD6BBF}">
  <dimension ref="A1:D7"/>
  <sheetViews>
    <sheetView workbookViewId="0">
      <selection activeCell="C11" sqref="C11"/>
    </sheetView>
  </sheetViews>
  <sheetFormatPr baseColWidth="10" defaultColWidth="11" defaultRowHeight="16" x14ac:dyDescent="0.2"/>
  <cols>
    <col min="1" max="1" width="5" customWidth="1"/>
    <col min="2" max="2" width="15.33203125" customWidth="1"/>
    <col min="3" max="3" width="134.1640625" bestFit="1" customWidth="1"/>
    <col min="4" max="4" width="98.33203125" bestFit="1" customWidth="1"/>
  </cols>
  <sheetData>
    <row r="1" spans="1:4" x14ac:dyDescent="0.2">
      <c r="A1" s="44" t="s">
        <v>4</v>
      </c>
      <c r="B1" s="44"/>
      <c r="C1" s="44"/>
      <c r="D1" s="44"/>
    </row>
    <row r="2" spans="1:4" x14ac:dyDescent="0.2">
      <c r="A2" s="19" t="s">
        <v>79</v>
      </c>
      <c r="B2" s="19" t="s">
        <v>73</v>
      </c>
      <c r="C2" s="19" t="s">
        <v>80</v>
      </c>
      <c r="D2" s="19" t="s">
        <v>81</v>
      </c>
    </row>
    <row r="3" spans="1:4" x14ac:dyDescent="0.2">
      <c r="A3" t="s">
        <v>3</v>
      </c>
      <c r="B3" t="s">
        <v>83</v>
      </c>
      <c r="C3" t="s">
        <v>50</v>
      </c>
      <c r="D3" s="1" t="s">
        <v>51</v>
      </c>
    </row>
    <row r="4" spans="1:4" x14ac:dyDescent="0.2">
      <c r="A4" t="s">
        <v>5</v>
      </c>
      <c r="B4" t="s">
        <v>82</v>
      </c>
      <c r="C4" t="s">
        <v>16</v>
      </c>
      <c r="D4" s="1" t="s">
        <v>17</v>
      </c>
    </row>
    <row r="5" spans="1:4" x14ac:dyDescent="0.2">
      <c r="A5" t="s">
        <v>6</v>
      </c>
      <c r="B5" t="s">
        <v>86</v>
      </c>
      <c r="C5" t="s">
        <v>87</v>
      </c>
      <c r="D5" s="1" t="s">
        <v>88</v>
      </c>
    </row>
    <row r="6" spans="1:4" x14ac:dyDescent="0.2">
      <c r="A6" t="s">
        <v>7</v>
      </c>
      <c r="B6" t="s">
        <v>85</v>
      </c>
      <c r="C6" t="s">
        <v>56</v>
      </c>
      <c r="D6" s="1" t="s">
        <v>57</v>
      </c>
    </row>
    <row r="7" spans="1:4" x14ac:dyDescent="0.2">
      <c r="A7" t="s">
        <v>8</v>
      </c>
      <c r="B7" t="s">
        <v>84</v>
      </c>
      <c r="C7" t="s">
        <v>67</v>
      </c>
      <c r="D7" s="1" t="s">
        <v>68</v>
      </c>
    </row>
  </sheetData>
  <mergeCells count="1">
    <mergeCell ref="A1:D1"/>
  </mergeCells>
  <hyperlinks>
    <hyperlink ref="D4" r:id="rId1" xr:uid="{DBA8FD02-12F7-A545-85EF-92768A13AE40}"/>
    <hyperlink ref="D3" r:id="rId2" xr:uid="{CA33FF5B-F179-364F-A228-32367B27E537}"/>
    <hyperlink ref="D7" r:id="rId3" xr:uid="{8EF26FF7-6402-1C40-B424-B0EDA0D90199}"/>
    <hyperlink ref="D6" r:id="rId4" xr:uid="{809F95C9-3031-D44C-863E-AC504B92E48E}"/>
    <hyperlink ref="D5" r:id="rId5" xr:uid="{602E39EB-56ED-F848-BC34-18AF227B94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Mortality_old</vt:lpstr>
      <vt:lpstr>Population pathways</vt:lpstr>
      <vt:lpstr>Adjust mortality (cp 1.1.1)</vt:lpstr>
      <vt:lpstr>Adjust receive trmt (cp 1.1.2)</vt:lpstr>
      <vt:lpstr>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Brümmer</dc:creator>
  <cp:lastModifiedBy>Lukas Brümmer</cp:lastModifiedBy>
  <dcterms:created xsi:type="dcterms:W3CDTF">2022-11-07T18:18:55Z</dcterms:created>
  <dcterms:modified xsi:type="dcterms:W3CDTF">2025-09-28T16:17:54Z</dcterms:modified>
</cp:coreProperties>
</file>