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scholz8\Dropbox\2_Arbeit\COI_TK\ERJ_submission\"/>
    </mc:Choice>
  </mc:AlternateContent>
  <bookViews>
    <workbookView xWindow="0" yWindow="180" windowWidth="24000" windowHeight="9345"/>
  </bookViews>
  <sheets>
    <sheet name="Manual" sheetId="9" r:id="rId1"/>
    <sheet name="IncidenceComplications" sheetId="1" r:id="rId2"/>
    <sheet name="TotalCosts" sheetId="8" r:id="rId3"/>
    <sheet name="Inpatient" sheetId="4" r:id="rId4"/>
    <sheet name="Outpatient" sheetId="5" r:id="rId5"/>
    <sheet name="Pharmaceutical" sheetId="6" r:id="rId6"/>
    <sheet name="Sick_Leave" sheetId="7" r:id="rId7"/>
    <sheet name="External_Sources" sheetId="3" r:id="rId8"/>
  </sheets>
  <definedNames>
    <definedName name="_xlnm._FilterDatabase" localSheetId="1" hidden="1">IncidenceComplications!$M$4:$M$26</definedName>
  </definedNames>
  <calcPr calcId="152511"/>
</workbook>
</file>

<file path=xl/calcChain.xml><?xml version="1.0" encoding="utf-8"?>
<calcChain xmlns="http://schemas.openxmlformats.org/spreadsheetml/2006/main">
  <c r="P42" i="1" l="1"/>
  <c r="D34" i="3" l="1"/>
  <c r="C42" i="3"/>
  <c r="D42" i="3" s="1"/>
  <c r="C34" i="3"/>
  <c r="C26" i="3"/>
  <c r="D26" i="3" s="1"/>
  <c r="C27" i="3" a="1"/>
  <c r="C27" i="3" s="1"/>
  <c r="K50" i="7" l="1"/>
  <c r="AS79" i="4" l="1"/>
  <c r="AF79" i="4"/>
  <c r="AE79" i="4"/>
  <c r="AD79" i="4"/>
  <c r="AC79" i="4"/>
  <c r="AV79" i="4"/>
  <c r="AU79" i="4"/>
  <c r="AT79" i="4"/>
  <c r="AR79" i="4"/>
  <c r="D39" i="1"/>
  <c r="D38" i="1"/>
  <c r="D37" i="1"/>
  <c r="K26" i="8" l="1"/>
  <c r="K25" i="8"/>
  <c r="K24" i="8"/>
  <c r="K18" i="8"/>
  <c r="K17" i="8"/>
  <c r="K16" i="8"/>
  <c r="K10" i="8"/>
  <c r="K9" i="8"/>
  <c r="K8" i="8"/>
  <c r="J47" i="5"/>
  <c r="K47" i="5" s="1"/>
  <c r="H47" i="5"/>
  <c r="AO7" i="4" l="1"/>
  <c r="AP47" i="4" s="1"/>
  <c r="M7" i="5" l="1"/>
  <c r="D42" i="1" l="1"/>
  <c r="D43" i="1"/>
  <c r="D44" i="1"/>
  <c r="D45" i="1"/>
  <c r="D46" i="1"/>
  <c r="D47" i="1"/>
  <c r="D48" i="1"/>
  <c r="D50" i="1"/>
  <c r="D51" i="1"/>
  <c r="D52" i="1"/>
  <c r="D53" i="1"/>
  <c r="D54" i="1"/>
  <c r="D55" i="1"/>
  <c r="D56" i="1"/>
  <c r="D58" i="1"/>
  <c r="D59" i="1"/>
  <c r="D60" i="1"/>
  <c r="D61" i="1"/>
  <c r="D62" i="1"/>
  <c r="D63" i="1"/>
  <c r="D64" i="1"/>
  <c r="E42" i="1"/>
  <c r="C8" i="8" s="1"/>
  <c r="C28" i="1"/>
  <c r="C29" i="1"/>
  <c r="C30" i="1"/>
  <c r="C31" i="1"/>
  <c r="C32" i="1"/>
  <c r="C33" i="1"/>
  <c r="C34" i="1"/>
  <c r="C35" i="1"/>
  <c r="C36" i="1"/>
  <c r="S8" i="8" l="1"/>
  <c r="G47" i="5"/>
  <c r="AX69" i="5"/>
  <c r="AV69" i="5"/>
  <c r="AU69" i="5"/>
  <c r="AS69" i="5"/>
  <c r="AP69" i="5"/>
  <c r="AQ69" i="5" s="1"/>
  <c r="AN69" i="5"/>
  <c r="AM69" i="5"/>
  <c r="AK69" i="5"/>
  <c r="AH69" i="5"/>
  <c r="AF69" i="5"/>
  <c r="AE69" i="5"/>
  <c r="AC69" i="5"/>
  <c r="Z69" i="5"/>
  <c r="X69" i="5"/>
  <c r="W69" i="5"/>
  <c r="U69" i="5"/>
  <c r="R69" i="5"/>
  <c r="P69" i="5"/>
  <c r="O69" i="5"/>
  <c r="M69" i="5"/>
  <c r="J69" i="5"/>
  <c r="H69" i="5"/>
  <c r="G69" i="5"/>
  <c r="E69" i="5"/>
  <c r="D69" i="5"/>
  <c r="C69" i="5"/>
  <c r="AX68" i="5"/>
  <c r="AV68" i="5"/>
  <c r="AU68" i="5"/>
  <c r="AS68" i="5"/>
  <c r="AP68" i="5"/>
  <c r="AN68" i="5"/>
  <c r="AM68" i="5"/>
  <c r="AK68" i="5"/>
  <c r="AH68" i="5"/>
  <c r="AF68" i="5"/>
  <c r="AE68" i="5"/>
  <c r="AC68" i="5"/>
  <c r="Z68" i="5"/>
  <c r="X68" i="5"/>
  <c r="W68" i="5"/>
  <c r="U68" i="5"/>
  <c r="R68" i="5"/>
  <c r="S68" i="5" s="1"/>
  <c r="P68" i="5"/>
  <c r="O68" i="5"/>
  <c r="M68" i="5"/>
  <c r="J68" i="5"/>
  <c r="H68" i="5"/>
  <c r="G68" i="5"/>
  <c r="E68" i="5"/>
  <c r="D68" i="5"/>
  <c r="C68" i="5"/>
  <c r="AX67" i="5"/>
  <c r="AV67" i="5"/>
  <c r="AU67" i="5"/>
  <c r="AS67" i="5"/>
  <c r="AP67" i="5"/>
  <c r="AN67" i="5"/>
  <c r="AM67" i="5"/>
  <c r="AK67" i="5"/>
  <c r="AH67" i="5"/>
  <c r="AF67" i="5"/>
  <c r="AE67" i="5"/>
  <c r="AC67" i="5"/>
  <c r="Z67" i="5"/>
  <c r="X67" i="5"/>
  <c r="W67" i="5"/>
  <c r="U67" i="5"/>
  <c r="R67" i="5"/>
  <c r="P67" i="5"/>
  <c r="O67" i="5"/>
  <c r="M67" i="5"/>
  <c r="J67" i="5"/>
  <c r="K67" i="5" s="1"/>
  <c r="H67" i="5"/>
  <c r="G67" i="5"/>
  <c r="E67" i="5"/>
  <c r="D67" i="5"/>
  <c r="C67" i="5"/>
  <c r="AX66" i="5"/>
  <c r="AY66" i="5" s="1"/>
  <c r="AV66" i="5"/>
  <c r="AU66" i="5"/>
  <c r="AS66" i="5"/>
  <c r="AP66" i="5"/>
  <c r="AN66" i="5"/>
  <c r="AM66" i="5"/>
  <c r="AK66" i="5"/>
  <c r="AH66" i="5"/>
  <c r="AF66" i="5"/>
  <c r="AE66" i="5"/>
  <c r="AC66" i="5"/>
  <c r="Z66" i="5"/>
  <c r="X66" i="5"/>
  <c r="W66" i="5"/>
  <c r="U66" i="5"/>
  <c r="R66" i="5"/>
  <c r="P66" i="5"/>
  <c r="O66" i="5"/>
  <c r="M66" i="5"/>
  <c r="J66" i="5"/>
  <c r="H66" i="5"/>
  <c r="G66" i="5"/>
  <c r="E66" i="5"/>
  <c r="D66" i="5"/>
  <c r="C66" i="5"/>
  <c r="AX65" i="5"/>
  <c r="AV65" i="5"/>
  <c r="AU65" i="5"/>
  <c r="AS65" i="5"/>
  <c r="AP65" i="5"/>
  <c r="AQ65" i="5" s="1"/>
  <c r="AN65" i="5"/>
  <c r="AM65" i="5"/>
  <c r="AK65" i="5"/>
  <c r="AH65" i="5"/>
  <c r="AF65" i="5"/>
  <c r="AE65" i="5"/>
  <c r="AC65" i="5"/>
  <c r="Z65" i="5"/>
  <c r="X65" i="5"/>
  <c r="W65" i="5"/>
  <c r="U65" i="5"/>
  <c r="R65" i="5"/>
  <c r="P65" i="5"/>
  <c r="O65" i="5"/>
  <c r="M65" i="5"/>
  <c r="J65" i="5"/>
  <c r="H65" i="5"/>
  <c r="G65" i="5"/>
  <c r="E65" i="5"/>
  <c r="D65" i="5"/>
  <c r="C65" i="5"/>
  <c r="AX64" i="5"/>
  <c r="AV64" i="5"/>
  <c r="AU64" i="5"/>
  <c r="AS64" i="5"/>
  <c r="AP64" i="5"/>
  <c r="AN64" i="5"/>
  <c r="AM64" i="5"/>
  <c r="AK64" i="5"/>
  <c r="AH64" i="5"/>
  <c r="AF64" i="5"/>
  <c r="AE64" i="5"/>
  <c r="AC64" i="5"/>
  <c r="Z64" i="5"/>
  <c r="X64" i="5"/>
  <c r="W64" i="5"/>
  <c r="U64" i="5"/>
  <c r="R64" i="5"/>
  <c r="S64" i="5" s="1"/>
  <c r="P64" i="5"/>
  <c r="O64" i="5"/>
  <c r="M64" i="5"/>
  <c r="J64" i="5"/>
  <c r="H64" i="5"/>
  <c r="G64" i="5"/>
  <c r="E64" i="5"/>
  <c r="D64" i="5"/>
  <c r="C64" i="5"/>
  <c r="AX63" i="5"/>
  <c r="AY63" i="5" s="1"/>
  <c r="AV63" i="5"/>
  <c r="AU63" i="5"/>
  <c r="AS63" i="5"/>
  <c r="AP63" i="5"/>
  <c r="AN63" i="5"/>
  <c r="AM63" i="5"/>
  <c r="AK63" i="5"/>
  <c r="AH63" i="5"/>
  <c r="AI63" i="5" s="1"/>
  <c r="AF63" i="5"/>
  <c r="AE63" i="5"/>
  <c r="AC63" i="5"/>
  <c r="Z63" i="5"/>
  <c r="X63" i="5"/>
  <c r="W63" i="5"/>
  <c r="U63" i="5"/>
  <c r="R63" i="5"/>
  <c r="S63" i="5" s="1"/>
  <c r="P63" i="5"/>
  <c r="O63" i="5"/>
  <c r="M63" i="5"/>
  <c r="J63" i="5"/>
  <c r="K63" i="5" s="1"/>
  <c r="H63" i="5"/>
  <c r="G63" i="5"/>
  <c r="E63" i="5"/>
  <c r="D63" i="5"/>
  <c r="C63" i="5"/>
  <c r="AX61" i="5"/>
  <c r="AY61" i="5" s="1"/>
  <c r="AV61" i="5"/>
  <c r="AU61" i="5"/>
  <c r="AS61" i="5"/>
  <c r="AP61" i="5"/>
  <c r="AQ61" i="5" s="1"/>
  <c r="AN61" i="5"/>
  <c r="AM61" i="5"/>
  <c r="AK61" i="5"/>
  <c r="AH61" i="5"/>
  <c r="AF61" i="5"/>
  <c r="AE61" i="5"/>
  <c r="AC61" i="5"/>
  <c r="Z61" i="5"/>
  <c r="AA61" i="5" s="1"/>
  <c r="X61" i="5"/>
  <c r="W61" i="5"/>
  <c r="U61" i="5"/>
  <c r="R61" i="5"/>
  <c r="P61" i="5"/>
  <c r="O61" i="5"/>
  <c r="M61" i="5"/>
  <c r="J61" i="5"/>
  <c r="H61" i="5"/>
  <c r="G61" i="5"/>
  <c r="E61" i="5"/>
  <c r="D61" i="5"/>
  <c r="C61" i="5"/>
  <c r="AX60" i="5"/>
  <c r="AY60" i="5" s="1"/>
  <c r="AV60" i="5"/>
  <c r="AU60" i="5"/>
  <c r="AS60" i="5"/>
  <c r="AP60" i="5"/>
  <c r="AQ60" i="5" s="1"/>
  <c r="AN60" i="5"/>
  <c r="AM60" i="5"/>
  <c r="AK60" i="5"/>
  <c r="AH60" i="5"/>
  <c r="AI60" i="5" s="1"/>
  <c r="AF60" i="5"/>
  <c r="AE60" i="5"/>
  <c r="AC60" i="5"/>
  <c r="Z60" i="5"/>
  <c r="AA60" i="5" s="1"/>
  <c r="X60" i="5"/>
  <c r="W60" i="5"/>
  <c r="U60" i="5"/>
  <c r="R60" i="5"/>
  <c r="S60" i="5" s="1"/>
  <c r="P60" i="5"/>
  <c r="O60" i="5"/>
  <c r="M60" i="5"/>
  <c r="J60" i="5"/>
  <c r="K60" i="5" s="1"/>
  <c r="H60" i="5"/>
  <c r="G60" i="5"/>
  <c r="E60" i="5"/>
  <c r="H100" i="5" s="1"/>
  <c r="D60" i="5"/>
  <c r="C60" i="5"/>
  <c r="AX59" i="5"/>
  <c r="AV59" i="5"/>
  <c r="AU59" i="5"/>
  <c r="AS59" i="5"/>
  <c r="AP59" i="5"/>
  <c r="AQ59" i="5" s="1"/>
  <c r="AN59" i="5"/>
  <c r="AM59" i="5"/>
  <c r="AK59" i="5"/>
  <c r="AH59" i="5"/>
  <c r="AF59" i="5"/>
  <c r="AE59" i="5"/>
  <c r="AC59" i="5"/>
  <c r="Z59" i="5"/>
  <c r="AA59" i="5" s="1"/>
  <c r="X59" i="5"/>
  <c r="W59" i="5"/>
  <c r="U59" i="5"/>
  <c r="R59" i="5"/>
  <c r="S59" i="5" s="1"/>
  <c r="P59" i="5"/>
  <c r="O59" i="5"/>
  <c r="M59" i="5"/>
  <c r="J59" i="5"/>
  <c r="K59" i="5" s="1"/>
  <c r="H59" i="5"/>
  <c r="G59" i="5"/>
  <c r="E59" i="5"/>
  <c r="D59" i="5"/>
  <c r="C59" i="5"/>
  <c r="AX58" i="5"/>
  <c r="AV58" i="5"/>
  <c r="AU58" i="5"/>
  <c r="AS58" i="5"/>
  <c r="AP58" i="5"/>
  <c r="AQ58" i="5" s="1"/>
  <c r="AN58" i="5"/>
  <c r="AM58" i="5"/>
  <c r="AK58" i="5"/>
  <c r="AH58" i="5"/>
  <c r="AI58" i="5" s="1"/>
  <c r="AF58" i="5"/>
  <c r="AE58" i="5"/>
  <c r="AC58" i="5"/>
  <c r="Z58" i="5"/>
  <c r="X58" i="5"/>
  <c r="W58" i="5"/>
  <c r="U58" i="5"/>
  <c r="R58" i="5"/>
  <c r="S58" i="5" s="1"/>
  <c r="P58" i="5"/>
  <c r="O58" i="5"/>
  <c r="M58" i="5"/>
  <c r="J58" i="5"/>
  <c r="K58" i="5" s="1"/>
  <c r="H58" i="5"/>
  <c r="G58" i="5"/>
  <c r="E58" i="5"/>
  <c r="H98" i="5" s="1"/>
  <c r="D58" i="5"/>
  <c r="C58" i="5"/>
  <c r="AX57" i="5"/>
  <c r="AY57" i="5" s="1"/>
  <c r="AV57" i="5"/>
  <c r="AU57" i="5"/>
  <c r="AS57" i="5"/>
  <c r="AP57" i="5"/>
  <c r="AQ57" i="5" s="1"/>
  <c r="AN57" i="5"/>
  <c r="AM57" i="5"/>
  <c r="AK57" i="5"/>
  <c r="AH57" i="5"/>
  <c r="AI57" i="5" s="1"/>
  <c r="AF57" i="5"/>
  <c r="AE57" i="5"/>
  <c r="AC57" i="5"/>
  <c r="Z57" i="5"/>
  <c r="AA57" i="5" s="1"/>
  <c r="X57" i="5"/>
  <c r="W57" i="5"/>
  <c r="U57" i="5"/>
  <c r="R57" i="5"/>
  <c r="S57" i="5" s="1"/>
  <c r="P57" i="5"/>
  <c r="O57" i="5"/>
  <c r="M57" i="5"/>
  <c r="J57" i="5"/>
  <c r="H57" i="5"/>
  <c r="G57" i="5"/>
  <c r="E57" i="5"/>
  <c r="D57" i="5"/>
  <c r="C57" i="5"/>
  <c r="AX56" i="5"/>
  <c r="AY56" i="5" s="1"/>
  <c r="AV56" i="5"/>
  <c r="AU56" i="5"/>
  <c r="AS56" i="5"/>
  <c r="AP56" i="5"/>
  <c r="AQ56" i="5" s="1"/>
  <c r="AN56" i="5"/>
  <c r="AM56" i="5"/>
  <c r="AK56" i="5"/>
  <c r="AH56" i="5"/>
  <c r="AI56" i="5" s="1"/>
  <c r="AF56" i="5"/>
  <c r="AE56" i="5"/>
  <c r="AC56" i="5"/>
  <c r="Z56" i="5"/>
  <c r="AA56" i="5" s="1"/>
  <c r="X56" i="5"/>
  <c r="W56" i="5"/>
  <c r="U56" i="5"/>
  <c r="R56" i="5"/>
  <c r="S56" i="5" s="1"/>
  <c r="P56" i="5"/>
  <c r="O56" i="5"/>
  <c r="M56" i="5"/>
  <c r="J56" i="5"/>
  <c r="K56" i="5" s="1"/>
  <c r="H56" i="5"/>
  <c r="G56" i="5"/>
  <c r="E56" i="5"/>
  <c r="H96" i="5" s="1"/>
  <c r="D56" i="5"/>
  <c r="C56" i="5"/>
  <c r="AX55" i="5"/>
  <c r="AV55" i="5"/>
  <c r="AU55" i="5"/>
  <c r="AS55" i="5"/>
  <c r="AP55" i="5"/>
  <c r="AN55" i="5"/>
  <c r="AM55" i="5"/>
  <c r="AK55" i="5"/>
  <c r="AH55" i="5"/>
  <c r="AF55" i="5"/>
  <c r="AE55" i="5"/>
  <c r="AC55" i="5"/>
  <c r="Z55" i="5"/>
  <c r="AA55" i="5" s="1"/>
  <c r="X55" i="5"/>
  <c r="W55" i="5"/>
  <c r="U55" i="5"/>
  <c r="R55" i="5"/>
  <c r="S55" i="5" s="1"/>
  <c r="P55" i="5"/>
  <c r="O55" i="5"/>
  <c r="M55" i="5"/>
  <c r="J55" i="5"/>
  <c r="K55" i="5" s="1"/>
  <c r="H55" i="5"/>
  <c r="G55" i="5"/>
  <c r="E55" i="5"/>
  <c r="D55" i="5"/>
  <c r="C55" i="5"/>
  <c r="AX53" i="5"/>
  <c r="AV53" i="5"/>
  <c r="AU53" i="5"/>
  <c r="AS53" i="5"/>
  <c r="AP53" i="5"/>
  <c r="AQ53" i="5" s="1"/>
  <c r="AN53" i="5"/>
  <c r="AM53" i="5"/>
  <c r="AK53" i="5"/>
  <c r="AH53" i="5"/>
  <c r="AF53" i="5"/>
  <c r="AE53" i="5"/>
  <c r="AC53" i="5"/>
  <c r="Z53" i="5"/>
  <c r="X53" i="5"/>
  <c r="W53" i="5"/>
  <c r="U53" i="5"/>
  <c r="R53" i="5"/>
  <c r="P53" i="5"/>
  <c r="O53" i="5"/>
  <c r="M53" i="5"/>
  <c r="J53" i="5"/>
  <c r="H53" i="5"/>
  <c r="G53" i="5"/>
  <c r="E53" i="5"/>
  <c r="D53" i="5"/>
  <c r="C53" i="5"/>
  <c r="AX52" i="5"/>
  <c r="AV52" i="5"/>
  <c r="AU52" i="5"/>
  <c r="AS52" i="5"/>
  <c r="AP52" i="5"/>
  <c r="AQ52" i="5" s="1"/>
  <c r="AN52" i="5"/>
  <c r="AM52" i="5"/>
  <c r="AK52" i="5"/>
  <c r="AH52" i="5"/>
  <c r="AF52" i="5"/>
  <c r="AE52" i="5"/>
  <c r="AC52" i="5"/>
  <c r="Z52" i="5"/>
  <c r="AA52" i="5" s="1"/>
  <c r="X52" i="5"/>
  <c r="W52" i="5"/>
  <c r="U52" i="5"/>
  <c r="R52" i="5"/>
  <c r="S52" i="5" s="1"/>
  <c r="P52" i="5"/>
  <c r="O52" i="5"/>
  <c r="M52" i="5"/>
  <c r="J52" i="5"/>
  <c r="K52" i="5" s="1"/>
  <c r="H52" i="5"/>
  <c r="G52" i="5"/>
  <c r="E52" i="5"/>
  <c r="D52" i="5"/>
  <c r="C52" i="5"/>
  <c r="AX51" i="5"/>
  <c r="AV51" i="5"/>
  <c r="AU51" i="5"/>
  <c r="AS51" i="5"/>
  <c r="AP51" i="5"/>
  <c r="AN51" i="5"/>
  <c r="AM51" i="5"/>
  <c r="AK51" i="5"/>
  <c r="AH51" i="5"/>
  <c r="AI51" i="5" s="1"/>
  <c r="AF51" i="5"/>
  <c r="AE51" i="5"/>
  <c r="AC51" i="5"/>
  <c r="Z51" i="5"/>
  <c r="X51" i="5"/>
  <c r="W51" i="5"/>
  <c r="U51" i="5"/>
  <c r="R51" i="5"/>
  <c r="P51" i="5"/>
  <c r="O51" i="5"/>
  <c r="M51" i="5"/>
  <c r="J51" i="5"/>
  <c r="H51" i="5"/>
  <c r="G51" i="5"/>
  <c r="E51" i="5"/>
  <c r="D51" i="5"/>
  <c r="C51" i="5"/>
  <c r="AX50" i="5"/>
  <c r="AV50" i="5"/>
  <c r="AU50" i="5"/>
  <c r="AS50" i="5"/>
  <c r="AP50" i="5"/>
  <c r="AQ50" i="5" s="1"/>
  <c r="AN50" i="5"/>
  <c r="AM50" i="5"/>
  <c r="AK50" i="5"/>
  <c r="AH50" i="5"/>
  <c r="AF50" i="5"/>
  <c r="AE50" i="5"/>
  <c r="AC50" i="5"/>
  <c r="Z50" i="5"/>
  <c r="AA50" i="5" s="1"/>
  <c r="X50" i="5"/>
  <c r="W50" i="5"/>
  <c r="U50" i="5"/>
  <c r="R50" i="5"/>
  <c r="S50" i="5" s="1"/>
  <c r="P50" i="5"/>
  <c r="O50" i="5"/>
  <c r="M50" i="5"/>
  <c r="J50" i="5"/>
  <c r="K50" i="5" s="1"/>
  <c r="H50" i="5"/>
  <c r="G50" i="5"/>
  <c r="E50" i="5"/>
  <c r="D50" i="5"/>
  <c r="C50" i="5"/>
  <c r="AX49" i="5"/>
  <c r="AV49" i="5"/>
  <c r="AU49" i="5"/>
  <c r="AS49" i="5"/>
  <c r="AP49" i="5"/>
  <c r="AN49" i="5"/>
  <c r="AM49" i="5"/>
  <c r="AK49" i="5"/>
  <c r="AH49" i="5"/>
  <c r="AI49" i="5" s="1"/>
  <c r="AF49" i="5"/>
  <c r="AE49" i="5"/>
  <c r="AC49" i="5"/>
  <c r="Z49" i="5"/>
  <c r="X49" i="5"/>
  <c r="W49" i="5"/>
  <c r="U49" i="5"/>
  <c r="R49" i="5"/>
  <c r="P49" i="5"/>
  <c r="O49" i="5"/>
  <c r="M49" i="5"/>
  <c r="J49" i="5"/>
  <c r="H49" i="5"/>
  <c r="G49" i="5"/>
  <c r="E49" i="5"/>
  <c r="D49" i="5"/>
  <c r="C49" i="5"/>
  <c r="AX48" i="5"/>
  <c r="AV48" i="5"/>
  <c r="AU48" i="5"/>
  <c r="AS48" i="5"/>
  <c r="AP48" i="5"/>
  <c r="AQ48" i="5" s="1"/>
  <c r="AN48" i="5"/>
  <c r="AM48" i="5"/>
  <c r="AK48" i="5"/>
  <c r="AH48" i="5"/>
  <c r="AF48" i="5"/>
  <c r="AE48" i="5"/>
  <c r="AC48" i="5"/>
  <c r="Z48" i="5"/>
  <c r="AA48" i="5" s="1"/>
  <c r="X48" i="5"/>
  <c r="W48" i="5"/>
  <c r="U48" i="5"/>
  <c r="R48" i="5"/>
  <c r="P48" i="5"/>
  <c r="O48" i="5"/>
  <c r="M48" i="5"/>
  <c r="J48" i="5"/>
  <c r="K48" i="5" s="1"/>
  <c r="H48" i="5"/>
  <c r="G48" i="5"/>
  <c r="E48" i="5"/>
  <c r="D48" i="5"/>
  <c r="C48" i="5"/>
  <c r="AX47" i="5"/>
  <c r="AV47" i="5"/>
  <c r="AU47" i="5"/>
  <c r="AS47" i="5"/>
  <c r="AP47" i="5"/>
  <c r="AN47" i="5"/>
  <c r="AM47" i="5"/>
  <c r="AK47" i="5"/>
  <c r="AH47" i="5"/>
  <c r="AI47" i="5" s="1"/>
  <c r="AF47" i="5"/>
  <c r="AE47" i="5"/>
  <c r="AC47" i="5"/>
  <c r="Z47" i="5"/>
  <c r="X47" i="5"/>
  <c r="W47" i="5"/>
  <c r="U47" i="5"/>
  <c r="R47" i="5"/>
  <c r="P47" i="5"/>
  <c r="O47" i="5"/>
  <c r="M47" i="5"/>
  <c r="E47" i="5"/>
  <c r="D47" i="5"/>
  <c r="C47" i="5"/>
  <c r="C127" i="7"/>
  <c r="C128" i="7"/>
  <c r="C129" i="7"/>
  <c r="C135" i="7"/>
  <c r="C136" i="7"/>
  <c r="C137" i="7"/>
  <c r="C138" i="7"/>
  <c r="C139" i="7"/>
  <c r="C140" i="7"/>
  <c r="C141" i="7"/>
  <c r="C143" i="7"/>
  <c r="C144" i="7"/>
  <c r="C145" i="7"/>
  <c r="C146" i="7"/>
  <c r="C147" i="7"/>
  <c r="C148" i="7"/>
  <c r="C149" i="7"/>
  <c r="C167" i="7"/>
  <c r="C168" i="7"/>
  <c r="C169" i="7"/>
  <c r="C170" i="7"/>
  <c r="C171" i="7"/>
  <c r="C172" i="7"/>
  <c r="C173" i="7"/>
  <c r="C175" i="7"/>
  <c r="C176" i="7"/>
  <c r="C177" i="7"/>
  <c r="C178" i="7"/>
  <c r="C179" i="7"/>
  <c r="C180" i="7"/>
  <c r="C181" i="7"/>
  <c r="C183" i="7"/>
  <c r="C184" i="7"/>
  <c r="C185" i="7"/>
  <c r="C186" i="7"/>
  <c r="C187" i="7"/>
  <c r="C188" i="7"/>
  <c r="C189" i="7"/>
  <c r="C207" i="7"/>
  <c r="C208" i="7"/>
  <c r="C209" i="7"/>
  <c r="C210" i="7"/>
  <c r="C211" i="7"/>
  <c r="C212" i="7"/>
  <c r="C213" i="7"/>
  <c r="C215" i="7"/>
  <c r="C216" i="7"/>
  <c r="C217" i="7"/>
  <c r="C218" i="7"/>
  <c r="C219" i="7"/>
  <c r="C220" i="7"/>
  <c r="C221" i="7"/>
  <c r="C223" i="7"/>
  <c r="C224" i="7"/>
  <c r="C225" i="7"/>
  <c r="C226" i="7"/>
  <c r="C227" i="7"/>
  <c r="C228" i="7"/>
  <c r="C229" i="7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K43" i="1"/>
  <c r="J43" i="1"/>
  <c r="I43" i="1"/>
  <c r="H43" i="1"/>
  <c r="H42" i="1"/>
  <c r="K42" i="1"/>
  <c r="J42" i="1"/>
  <c r="I42" i="1"/>
  <c r="AL118" i="7"/>
  <c r="AK118" i="7"/>
  <c r="AH118" i="7"/>
  <c r="AG118" i="7"/>
  <c r="AF118" i="7"/>
  <c r="AE118" i="7"/>
  <c r="AB118" i="7"/>
  <c r="AA118" i="7"/>
  <c r="X118" i="7"/>
  <c r="W118" i="7"/>
  <c r="T118" i="7"/>
  <c r="S118" i="7"/>
  <c r="R118" i="7"/>
  <c r="Q118" i="7"/>
  <c r="I118" i="7"/>
  <c r="E118" i="7"/>
  <c r="C118" i="7"/>
  <c r="AL117" i="7"/>
  <c r="AK117" i="7"/>
  <c r="AH117" i="7"/>
  <c r="AG117" i="7"/>
  <c r="AF117" i="7"/>
  <c r="AE117" i="7"/>
  <c r="X117" i="7"/>
  <c r="W117" i="7"/>
  <c r="T117" i="7"/>
  <c r="S117" i="7"/>
  <c r="R117" i="7"/>
  <c r="Q117" i="7"/>
  <c r="I117" i="7"/>
  <c r="E117" i="7"/>
  <c r="C117" i="7"/>
  <c r="AL116" i="7"/>
  <c r="AK116" i="7"/>
  <c r="AH116" i="7"/>
  <c r="AG116" i="7"/>
  <c r="AF116" i="7"/>
  <c r="AE116" i="7"/>
  <c r="X116" i="7"/>
  <c r="W116" i="7"/>
  <c r="T116" i="7"/>
  <c r="S116" i="7"/>
  <c r="R116" i="7"/>
  <c r="Q116" i="7"/>
  <c r="I116" i="7"/>
  <c r="E116" i="7"/>
  <c r="C116" i="7"/>
  <c r="AL115" i="7"/>
  <c r="AK115" i="7"/>
  <c r="AH115" i="7"/>
  <c r="AG115" i="7"/>
  <c r="AF115" i="7"/>
  <c r="AE115" i="7"/>
  <c r="X115" i="7"/>
  <c r="W115" i="7"/>
  <c r="T115" i="7"/>
  <c r="S115" i="7"/>
  <c r="R115" i="7"/>
  <c r="Q115" i="7"/>
  <c r="AL110" i="7" a="1"/>
  <c r="AL110" i="7" s="1"/>
  <c r="AK110" i="7" a="1"/>
  <c r="AK110" i="7" s="1"/>
  <c r="AH110" i="7"/>
  <c r="AG110" i="7"/>
  <c r="AF110" i="7"/>
  <c r="AE110" i="7"/>
  <c r="X110" i="7" a="1"/>
  <c r="X110" i="7" s="1"/>
  <c r="W110" i="7" a="1"/>
  <c r="W110" i="7" s="1"/>
  <c r="T110" i="7"/>
  <c r="S110" i="7"/>
  <c r="R110" i="7"/>
  <c r="Q110" i="7"/>
  <c r="I110" i="7"/>
  <c r="E110" i="7"/>
  <c r="C110" i="7"/>
  <c r="G109" i="7"/>
  <c r="G108" i="7"/>
  <c r="G107" i="7"/>
  <c r="G106" i="7"/>
  <c r="AL102" i="7" a="1"/>
  <c r="AL102" i="7" s="1"/>
  <c r="AK102" i="7" a="1"/>
  <c r="AK102" i="7" s="1"/>
  <c r="AH102" i="7"/>
  <c r="AG102" i="7"/>
  <c r="AF102" i="7"/>
  <c r="AE102" i="7"/>
  <c r="X102" i="7" a="1"/>
  <c r="X102" i="7" s="1"/>
  <c r="W102" i="7" a="1"/>
  <c r="W102" i="7" s="1"/>
  <c r="T102" i="7"/>
  <c r="S102" i="7"/>
  <c r="R102" i="7"/>
  <c r="Q102" i="7"/>
  <c r="I102" i="7"/>
  <c r="E102" i="7"/>
  <c r="C102" i="7"/>
  <c r="G101" i="7"/>
  <c r="G100" i="7"/>
  <c r="G99" i="7"/>
  <c r="G98" i="7"/>
  <c r="AL94" i="7" a="1"/>
  <c r="AL94" i="7" s="1"/>
  <c r="AK94" i="7" a="1"/>
  <c r="AK94" i="7" s="1"/>
  <c r="AH94" i="7"/>
  <c r="AG94" i="7"/>
  <c r="AF94" i="7"/>
  <c r="AE94" i="7"/>
  <c r="X94" i="7" a="1"/>
  <c r="X94" i="7" s="1"/>
  <c r="W94" i="7" a="1"/>
  <c r="W94" i="7" s="1"/>
  <c r="T94" i="7"/>
  <c r="S94" i="7"/>
  <c r="R94" i="7"/>
  <c r="Q94" i="7"/>
  <c r="I94" i="7"/>
  <c r="E94" i="7"/>
  <c r="C94" i="7"/>
  <c r="G93" i="7"/>
  <c r="G92" i="7"/>
  <c r="G91" i="7"/>
  <c r="G90" i="7"/>
  <c r="AL78" i="7"/>
  <c r="AK78" i="7"/>
  <c r="AH78" i="7"/>
  <c r="AG78" i="7"/>
  <c r="AF78" i="7"/>
  <c r="AE78" i="7"/>
  <c r="X78" i="7"/>
  <c r="W78" i="7"/>
  <c r="T78" i="7"/>
  <c r="S78" i="7"/>
  <c r="R78" i="7"/>
  <c r="Q78" i="7"/>
  <c r="I78" i="7"/>
  <c r="E78" i="7"/>
  <c r="C78" i="7"/>
  <c r="AL77" i="7"/>
  <c r="AK77" i="7"/>
  <c r="AH77" i="7"/>
  <c r="AG77" i="7"/>
  <c r="AF77" i="7"/>
  <c r="AE77" i="7"/>
  <c r="X77" i="7"/>
  <c r="W77" i="7"/>
  <c r="T77" i="7"/>
  <c r="S77" i="7"/>
  <c r="R77" i="7"/>
  <c r="Q77" i="7"/>
  <c r="I77" i="7"/>
  <c r="E77" i="7"/>
  <c r="C77" i="7"/>
  <c r="AL76" i="7"/>
  <c r="AK76" i="7"/>
  <c r="AH76" i="7"/>
  <c r="AG76" i="7"/>
  <c r="AF76" i="7"/>
  <c r="AE76" i="7"/>
  <c r="X76" i="7"/>
  <c r="W76" i="7"/>
  <c r="T76" i="7"/>
  <c r="S76" i="7"/>
  <c r="R76" i="7"/>
  <c r="Q76" i="7"/>
  <c r="I76" i="7"/>
  <c r="E76" i="7"/>
  <c r="C76" i="7"/>
  <c r="AL75" i="7"/>
  <c r="AK75" i="7"/>
  <c r="AH75" i="7"/>
  <c r="AG75" i="7"/>
  <c r="AF75" i="7"/>
  <c r="AE75" i="7"/>
  <c r="X75" i="7"/>
  <c r="W75" i="7"/>
  <c r="T75" i="7"/>
  <c r="S75" i="7"/>
  <c r="R75" i="7"/>
  <c r="Q75" i="7"/>
  <c r="I75" i="7"/>
  <c r="E75" i="7"/>
  <c r="C75" i="7"/>
  <c r="AL70" i="7" a="1"/>
  <c r="AL70" i="7" s="1"/>
  <c r="AK70" i="7" a="1"/>
  <c r="AK70" i="7" s="1"/>
  <c r="AH70" i="7"/>
  <c r="AG70" i="7"/>
  <c r="AF70" i="7"/>
  <c r="AE70" i="7"/>
  <c r="X70" i="7" a="1"/>
  <c r="X70" i="7" s="1"/>
  <c r="W70" i="7" a="1"/>
  <c r="W70" i="7" s="1"/>
  <c r="T70" i="7"/>
  <c r="S70" i="7"/>
  <c r="R70" i="7"/>
  <c r="Q70" i="7"/>
  <c r="I70" i="7"/>
  <c r="E70" i="7"/>
  <c r="C70" i="7"/>
  <c r="G69" i="7"/>
  <c r="G68" i="7"/>
  <c r="G67" i="7"/>
  <c r="O66" i="7"/>
  <c r="K66" i="7"/>
  <c r="K26" i="7" s="1"/>
  <c r="K27" i="8" s="1"/>
  <c r="G66" i="7"/>
  <c r="AL62" i="7" a="1"/>
  <c r="AL62" i="7" s="1"/>
  <c r="AK62" i="7" a="1"/>
  <c r="AK62" i="7" s="1"/>
  <c r="AH62" i="7"/>
  <c r="AG62" i="7"/>
  <c r="AF62" i="7"/>
  <c r="AE62" i="7"/>
  <c r="X62" i="7" a="1"/>
  <c r="X62" i="7" s="1"/>
  <c r="W62" i="7" a="1"/>
  <c r="W62" i="7" s="1"/>
  <c r="T62" i="7"/>
  <c r="S62" i="7"/>
  <c r="R62" i="7"/>
  <c r="Q62" i="7"/>
  <c r="I62" i="7"/>
  <c r="E62" i="7"/>
  <c r="C62" i="7"/>
  <c r="G61" i="7"/>
  <c r="G60" i="7"/>
  <c r="G59" i="7"/>
  <c r="O58" i="7"/>
  <c r="K58" i="7"/>
  <c r="K18" i="7" s="1"/>
  <c r="G58" i="7"/>
  <c r="AL54" i="7" a="1"/>
  <c r="AL54" i="7" s="1"/>
  <c r="AK54" i="7" a="1"/>
  <c r="AK54" i="7" s="1"/>
  <c r="AH54" i="7"/>
  <c r="AG54" i="7"/>
  <c r="AF54" i="7"/>
  <c r="AE54" i="7"/>
  <c r="X54" i="7" a="1"/>
  <c r="X54" i="7" s="1"/>
  <c r="W54" i="7" a="1"/>
  <c r="W54" i="7" s="1"/>
  <c r="T54" i="7"/>
  <c r="S54" i="7"/>
  <c r="R54" i="7"/>
  <c r="Q54" i="7"/>
  <c r="I54" i="7"/>
  <c r="E54" i="7"/>
  <c r="C54" i="7"/>
  <c r="G53" i="7"/>
  <c r="G52" i="7"/>
  <c r="G51" i="7"/>
  <c r="O50" i="7"/>
  <c r="K10" i="7"/>
  <c r="K11" i="8" s="1"/>
  <c r="G50" i="7"/>
  <c r="AK38" i="7"/>
  <c r="AL35" i="7"/>
  <c r="AN30" i="7"/>
  <c r="AM30" i="7"/>
  <c r="E30" i="7"/>
  <c r="C30" i="7"/>
  <c r="AL29" i="7"/>
  <c r="AK29" i="7"/>
  <c r="AH29" i="7"/>
  <c r="AG29" i="7"/>
  <c r="AF29" i="7"/>
  <c r="AP29" i="7" s="1"/>
  <c r="AE29" i="7"/>
  <c r="AO29" i="7" s="1"/>
  <c r="X29" i="7"/>
  <c r="W29" i="7"/>
  <c r="T29" i="7"/>
  <c r="S29" i="7"/>
  <c r="R29" i="7"/>
  <c r="Q29" i="7"/>
  <c r="U149" i="7" s="1"/>
  <c r="I29" i="7"/>
  <c r="G29" i="7"/>
  <c r="AL28" i="7"/>
  <c r="AK28" i="7"/>
  <c r="AH28" i="7"/>
  <c r="AG28" i="7"/>
  <c r="AF28" i="7"/>
  <c r="AP28" i="7" s="1"/>
  <c r="AE28" i="7"/>
  <c r="X28" i="7"/>
  <c r="W28" i="7"/>
  <c r="T28" i="7"/>
  <c r="S28" i="7"/>
  <c r="R28" i="7"/>
  <c r="Q28" i="7"/>
  <c r="I28" i="7"/>
  <c r="G28" i="7"/>
  <c r="AL27" i="7"/>
  <c r="AK27" i="7"/>
  <c r="AH27" i="7"/>
  <c r="AG27" i="7"/>
  <c r="AF27" i="7"/>
  <c r="AP27" i="7" s="1"/>
  <c r="AE27" i="7"/>
  <c r="AK147" i="7" s="1"/>
  <c r="X27" i="7"/>
  <c r="W27" i="7"/>
  <c r="T27" i="7"/>
  <c r="S27" i="7"/>
  <c r="R27" i="7"/>
  <c r="Q27" i="7"/>
  <c r="I27" i="7"/>
  <c r="G27" i="7"/>
  <c r="AL26" i="7"/>
  <c r="AK26" i="7"/>
  <c r="AH26" i="7"/>
  <c r="AG26" i="7"/>
  <c r="AF26" i="7"/>
  <c r="AJ26" i="7" s="1"/>
  <c r="AE26" i="7"/>
  <c r="AI26" i="7" s="1"/>
  <c r="T26" i="7"/>
  <c r="S26" i="7"/>
  <c r="R26" i="7"/>
  <c r="V26" i="7" s="1"/>
  <c r="Q26" i="7"/>
  <c r="I26" i="7"/>
  <c r="G26" i="7"/>
  <c r="AF25" i="7"/>
  <c r="AE25" i="7"/>
  <c r="R25" i="7"/>
  <c r="Q25" i="7"/>
  <c r="U145" i="7" s="1"/>
  <c r="AF24" i="7"/>
  <c r="AE24" i="7"/>
  <c r="AK144" i="7" s="1"/>
  <c r="R24" i="7"/>
  <c r="Q24" i="7"/>
  <c r="U144" i="7" s="1"/>
  <c r="AF23" i="7"/>
  <c r="AE23" i="7"/>
  <c r="AK143" i="7" s="1"/>
  <c r="R23" i="7"/>
  <c r="Q23" i="7"/>
  <c r="U143" i="7" s="1"/>
  <c r="AN22" i="7"/>
  <c r="AM22" i="7"/>
  <c r="E22" i="7"/>
  <c r="C22" i="7"/>
  <c r="AL21" i="7"/>
  <c r="AK21" i="7"/>
  <c r="AH21" i="7"/>
  <c r="AG21" i="7"/>
  <c r="AF21" i="7"/>
  <c r="AE21" i="7"/>
  <c r="AO21" i="7" s="1"/>
  <c r="X21" i="7"/>
  <c r="W21" i="7"/>
  <c r="T21" i="7"/>
  <c r="S21" i="7"/>
  <c r="R21" i="7"/>
  <c r="Q21" i="7"/>
  <c r="U141" i="7" s="1"/>
  <c r="I21" i="7"/>
  <c r="G21" i="7"/>
  <c r="AL20" i="7"/>
  <c r="AK20" i="7"/>
  <c r="AH20" i="7"/>
  <c r="AG20" i="7"/>
  <c r="AF20" i="7"/>
  <c r="AP20" i="7" s="1"/>
  <c r="AE20" i="7"/>
  <c r="AO20" i="7" s="1"/>
  <c r="X20" i="7"/>
  <c r="W20" i="7"/>
  <c r="T20" i="7"/>
  <c r="S20" i="7"/>
  <c r="R20" i="7"/>
  <c r="Q20" i="7"/>
  <c r="I20" i="7"/>
  <c r="G20" i="7"/>
  <c r="AP19" i="7"/>
  <c r="AL19" i="7"/>
  <c r="AK19" i="7"/>
  <c r="AH19" i="7"/>
  <c r="AG19" i="7"/>
  <c r="AF19" i="7"/>
  <c r="AE19" i="7"/>
  <c r="AO19" i="7" s="1"/>
  <c r="X19" i="7"/>
  <c r="W19" i="7"/>
  <c r="T19" i="7"/>
  <c r="S19" i="7"/>
  <c r="R19" i="7"/>
  <c r="V19" i="7" s="1"/>
  <c r="Q19" i="7"/>
  <c r="U139" i="7" s="1"/>
  <c r="I19" i="7"/>
  <c r="G19" i="7"/>
  <c r="AL18" i="7"/>
  <c r="AK18" i="7"/>
  <c r="AH18" i="7"/>
  <c r="AG18" i="7"/>
  <c r="AF18" i="7"/>
  <c r="AJ18" i="7" s="1"/>
  <c r="AE18" i="7"/>
  <c r="AK138" i="7" s="1"/>
  <c r="X18" i="7"/>
  <c r="T18" i="7"/>
  <c r="S18" i="7"/>
  <c r="R18" i="7"/>
  <c r="Q18" i="7"/>
  <c r="I18" i="7"/>
  <c r="G18" i="7"/>
  <c r="AF17" i="7"/>
  <c r="AE17" i="7"/>
  <c r="AK137" i="7" s="1"/>
  <c r="R17" i="7"/>
  <c r="Q17" i="7"/>
  <c r="U137" i="7" s="1"/>
  <c r="AF16" i="7"/>
  <c r="AE16" i="7"/>
  <c r="AK136" i="7" s="1"/>
  <c r="R16" i="7"/>
  <c r="Q16" i="7"/>
  <c r="U136" i="7" s="1"/>
  <c r="AF15" i="7"/>
  <c r="AE15" i="7"/>
  <c r="AK135" i="7" s="1"/>
  <c r="R15" i="7"/>
  <c r="Q15" i="7"/>
  <c r="U135" i="7" s="1"/>
  <c r="AL13" i="7"/>
  <c r="AK13" i="7"/>
  <c r="AH13" i="7"/>
  <c r="AG13" i="7"/>
  <c r="AF13" i="7"/>
  <c r="AE13" i="7"/>
  <c r="X13" i="7"/>
  <c r="W13" i="7"/>
  <c r="T13" i="7"/>
  <c r="S13" i="7"/>
  <c r="R13" i="7"/>
  <c r="Q13" i="7"/>
  <c r="U133" i="7" s="1"/>
  <c r="I13" i="7"/>
  <c r="E13" i="7"/>
  <c r="E38" i="7" s="1"/>
  <c r="C13" i="7"/>
  <c r="C133" i="7" s="1"/>
  <c r="AL12" i="7"/>
  <c r="AK12" i="7"/>
  <c r="AH12" i="7"/>
  <c r="AG12" i="7"/>
  <c r="AF12" i="7"/>
  <c r="AE12" i="7"/>
  <c r="X12" i="7"/>
  <c r="W12" i="7"/>
  <c r="T12" i="7"/>
  <c r="S12" i="7"/>
  <c r="R12" i="7"/>
  <c r="Q12" i="7"/>
  <c r="U132" i="7" s="1"/>
  <c r="I12" i="7"/>
  <c r="E12" i="7"/>
  <c r="E37" i="7" s="1"/>
  <c r="C12" i="7"/>
  <c r="C37" i="7" s="1"/>
  <c r="AL11" i="7"/>
  <c r="AK11" i="7"/>
  <c r="AH11" i="7"/>
  <c r="AG11" i="7"/>
  <c r="AF11" i="7"/>
  <c r="AE11" i="7"/>
  <c r="AK131" i="7" s="1"/>
  <c r="X11" i="7"/>
  <c r="W11" i="7"/>
  <c r="T11" i="7"/>
  <c r="S11" i="7"/>
  <c r="R11" i="7"/>
  <c r="Q11" i="7"/>
  <c r="I11" i="7"/>
  <c r="E11" i="7"/>
  <c r="E36" i="7" s="1"/>
  <c r="C11" i="7"/>
  <c r="C131" i="7" s="1"/>
  <c r="AL10" i="7"/>
  <c r="AK10" i="7"/>
  <c r="AH10" i="7"/>
  <c r="AG10" i="7"/>
  <c r="AF10" i="7"/>
  <c r="AE10" i="7"/>
  <c r="T10" i="7"/>
  <c r="S10" i="7"/>
  <c r="R10" i="7"/>
  <c r="Q10" i="7"/>
  <c r="I10" i="7"/>
  <c r="E10" i="7"/>
  <c r="C10" i="7"/>
  <c r="C130" i="7" s="1"/>
  <c r="AF9" i="7"/>
  <c r="AE9" i="7"/>
  <c r="AK129" i="7" s="1"/>
  <c r="R9" i="7"/>
  <c r="V9" i="7" s="1"/>
  <c r="Q9" i="7"/>
  <c r="U129" i="7" s="1"/>
  <c r="G9" i="7"/>
  <c r="AF8" i="7"/>
  <c r="AE8" i="7"/>
  <c r="R8" i="7"/>
  <c r="V8" i="7" s="1"/>
  <c r="Q8" i="7"/>
  <c r="U128" i="7" s="1"/>
  <c r="G8" i="7"/>
  <c r="AF7" i="7"/>
  <c r="AE7" i="7"/>
  <c r="R7" i="7"/>
  <c r="Q7" i="7"/>
  <c r="U127" i="7" s="1"/>
  <c r="G7" i="7"/>
  <c r="F42" i="1"/>
  <c r="G42" i="1"/>
  <c r="M42" i="1"/>
  <c r="O42" i="1" s="1"/>
  <c r="N42" i="1"/>
  <c r="R42" i="1"/>
  <c r="S42" i="1"/>
  <c r="W42" i="1"/>
  <c r="X42" i="1"/>
  <c r="AB42" i="1"/>
  <c r="AC42" i="1"/>
  <c r="E43" i="1"/>
  <c r="C9" i="8" s="1"/>
  <c r="F43" i="1"/>
  <c r="G43" i="1"/>
  <c r="M43" i="1"/>
  <c r="N43" i="1"/>
  <c r="R43" i="1"/>
  <c r="S43" i="1"/>
  <c r="W43" i="1"/>
  <c r="X43" i="1"/>
  <c r="AB43" i="1"/>
  <c r="AC43" i="1"/>
  <c r="E44" i="1"/>
  <c r="C10" i="8" s="1"/>
  <c r="F44" i="1"/>
  <c r="G44" i="1"/>
  <c r="M44" i="1"/>
  <c r="N44" i="1"/>
  <c r="R44" i="1"/>
  <c r="S44" i="1"/>
  <c r="W44" i="1"/>
  <c r="X44" i="1"/>
  <c r="AB44" i="1"/>
  <c r="AC44" i="1"/>
  <c r="E45" i="1"/>
  <c r="C11" i="8" s="1"/>
  <c r="F45" i="1"/>
  <c r="G45" i="1"/>
  <c r="M45" i="1"/>
  <c r="N45" i="1"/>
  <c r="R45" i="1"/>
  <c r="S45" i="1"/>
  <c r="W45" i="1"/>
  <c r="X45" i="1"/>
  <c r="AB45" i="1"/>
  <c r="AC45" i="1"/>
  <c r="E46" i="1"/>
  <c r="C12" i="8" s="1"/>
  <c r="F46" i="1"/>
  <c r="G46" i="1"/>
  <c r="M46" i="1"/>
  <c r="N46" i="1"/>
  <c r="R46" i="1"/>
  <c r="S46" i="1"/>
  <c r="W46" i="1"/>
  <c r="X46" i="1"/>
  <c r="AB46" i="1"/>
  <c r="AC46" i="1"/>
  <c r="E47" i="1"/>
  <c r="C13" i="8" s="1"/>
  <c r="F47" i="1"/>
  <c r="G47" i="1"/>
  <c r="M47" i="1"/>
  <c r="N47" i="1"/>
  <c r="R47" i="1"/>
  <c r="S47" i="1"/>
  <c r="W47" i="1"/>
  <c r="X47" i="1"/>
  <c r="AB47" i="1"/>
  <c r="AC47" i="1"/>
  <c r="E48" i="1"/>
  <c r="C14" i="8" s="1"/>
  <c r="F48" i="1"/>
  <c r="G48" i="1"/>
  <c r="M48" i="1"/>
  <c r="N48" i="1"/>
  <c r="R48" i="1"/>
  <c r="S48" i="1"/>
  <c r="W48" i="1"/>
  <c r="X48" i="1"/>
  <c r="AB48" i="1"/>
  <c r="AC48" i="1"/>
  <c r="E50" i="1"/>
  <c r="C16" i="8" s="1"/>
  <c r="F50" i="1"/>
  <c r="G50" i="1"/>
  <c r="M50" i="1"/>
  <c r="N50" i="1"/>
  <c r="R50" i="1"/>
  <c r="S50" i="1"/>
  <c r="W50" i="1"/>
  <c r="X50" i="1"/>
  <c r="AB50" i="1"/>
  <c r="AC50" i="1"/>
  <c r="E51" i="1"/>
  <c r="C17" i="8" s="1"/>
  <c r="F51" i="1"/>
  <c r="G51" i="1"/>
  <c r="M51" i="1"/>
  <c r="N51" i="1"/>
  <c r="R51" i="1"/>
  <c r="S51" i="1"/>
  <c r="W51" i="1"/>
  <c r="X51" i="1"/>
  <c r="AB51" i="1"/>
  <c r="AC51" i="1"/>
  <c r="E52" i="1"/>
  <c r="C18" i="8" s="1"/>
  <c r="F52" i="1"/>
  <c r="G52" i="1"/>
  <c r="M52" i="1"/>
  <c r="N52" i="1"/>
  <c r="R52" i="1"/>
  <c r="S52" i="1"/>
  <c r="W52" i="1"/>
  <c r="X52" i="1"/>
  <c r="AB52" i="1"/>
  <c r="AC52" i="1"/>
  <c r="E53" i="1"/>
  <c r="C19" i="8" s="1"/>
  <c r="F53" i="1"/>
  <c r="G53" i="1"/>
  <c r="M53" i="1"/>
  <c r="N53" i="1"/>
  <c r="R53" i="1"/>
  <c r="S53" i="1"/>
  <c r="W53" i="1"/>
  <c r="X53" i="1"/>
  <c r="AB53" i="1"/>
  <c r="AC53" i="1"/>
  <c r="E54" i="1"/>
  <c r="C20" i="8" s="1"/>
  <c r="F54" i="1"/>
  <c r="G54" i="1"/>
  <c r="M54" i="1"/>
  <c r="N54" i="1"/>
  <c r="R54" i="1"/>
  <c r="S54" i="1"/>
  <c r="W54" i="1"/>
  <c r="X54" i="1"/>
  <c r="AB54" i="1"/>
  <c r="AC54" i="1"/>
  <c r="E55" i="1"/>
  <c r="C21" i="8" s="1"/>
  <c r="F55" i="1"/>
  <c r="G55" i="1"/>
  <c r="M55" i="1"/>
  <c r="N55" i="1"/>
  <c r="R55" i="1"/>
  <c r="S55" i="1"/>
  <c r="W55" i="1"/>
  <c r="X55" i="1"/>
  <c r="AB55" i="1"/>
  <c r="AC55" i="1"/>
  <c r="E56" i="1"/>
  <c r="C22" i="8" s="1"/>
  <c r="F56" i="1"/>
  <c r="G56" i="1"/>
  <c r="M56" i="1"/>
  <c r="N56" i="1"/>
  <c r="R56" i="1"/>
  <c r="S56" i="1"/>
  <c r="W56" i="1"/>
  <c r="X56" i="1"/>
  <c r="AB56" i="1"/>
  <c r="AC56" i="1"/>
  <c r="E58" i="1"/>
  <c r="C24" i="8" s="1"/>
  <c r="F58" i="1"/>
  <c r="G58" i="1"/>
  <c r="M58" i="1"/>
  <c r="N58" i="1"/>
  <c r="R58" i="1"/>
  <c r="S58" i="1"/>
  <c r="W58" i="1"/>
  <c r="X58" i="1"/>
  <c r="AB58" i="1"/>
  <c r="AC58" i="1"/>
  <c r="E59" i="1"/>
  <c r="C25" i="8" s="1"/>
  <c r="F59" i="1"/>
  <c r="G59" i="1"/>
  <c r="M59" i="1"/>
  <c r="N59" i="1"/>
  <c r="R59" i="1"/>
  <c r="S59" i="1"/>
  <c r="W59" i="1"/>
  <c r="X59" i="1"/>
  <c r="AB59" i="1"/>
  <c r="AC59" i="1"/>
  <c r="E60" i="1"/>
  <c r="C26" i="8" s="1"/>
  <c r="F60" i="1"/>
  <c r="G60" i="1"/>
  <c r="M60" i="1"/>
  <c r="N60" i="1"/>
  <c r="R60" i="1"/>
  <c r="S60" i="1"/>
  <c r="W60" i="1"/>
  <c r="X60" i="1"/>
  <c r="AB60" i="1"/>
  <c r="AC60" i="1"/>
  <c r="E61" i="1"/>
  <c r="C27" i="8" s="1"/>
  <c r="F61" i="1"/>
  <c r="G61" i="1"/>
  <c r="M61" i="1"/>
  <c r="N61" i="1"/>
  <c r="R61" i="1"/>
  <c r="S61" i="1"/>
  <c r="W61" i="1"/>
  <c r="X61" i="1"/>
  <c r="AB61" i="1"/>
  <c r="AC61" i="1"/>
  <c r="E62" i="1"/>
  <c r="C28" i="8" s="1"/>
  <c r="F62" i="1"/>
  <c r="G62" i="1"/>
  <c r="M62" i="1"/>
  <c r="N62" i="1"/>
  <c r="R62" i="1"/>
  <c r="S62" i="1"/>
  <c r="W62" i="1"/>
  <c r="X62" i="1"/>
  <c r="AB62" i="1"/>
  <c r="AC62" i="1"/>
  <c r="E63" i="1"/>
  <c r="C29" i="8" s="1"/>
  <c r="F63" i="1"/>
  <c r="G63" i="1"/>
  <c r="M63" i="1"/>
  <c r="N63" i="1"/>
  <c r="R63" i="1"/>
  <c r="S63" i="1"/>
  <c r="W63" i="1"/>
  <c r="X63" i="1"/>
  <c r="AB63" i="1"/>
  <c r="AC63" i="1"/>
  <c r="E64" i="1"/>
  <c r="C30" i="8" s="1"/>
  <c r="F64" i="1"/>
  <c r="G64" i="1"/>
  <c r="M64" i="1"/>
  <c r="N64" i="1"/>
  <c r="R64" i="1"/>
  <c r="S64" i="1"/>
  <c r="W64" i="1"/>
  <c r="X64" i="1"/>
  <c r="AB64" i="1"/>
  <c r="AC64" i="1"/>
  <c r="AX69" i="6"/>
  <c r="AY69" i="6" s="1"/>
  <c r="AV69" i="6"/>
  <c r="AU69" i="6"/>
  <c r="AS69" i="6"/>
  <c r="AP69" i="6"/>
  <c r="AQ69" i="6" s="1"/>
  <c r="AN69" i="6"/>
  <c r="AM69" i="6"/>
  <c r="AK69" i="6"/>
  <c r="AH69" i="6"/>
  <c r="AI69" i="6" s="1"/>
  <c r="AF69" i="6"/>
  <c r="AE69" i="6"/>
  <c r="AC69" i="6"/>
  <c r="Z69" i="6"/>
  <c r="AA69" i="6" s="1"/>
  <c r="X69" i="6"/>
  <c r="W69" i="6"/>
  <c r="U69" i="6"/>
  <c r="R69" i="6"/>
  <c r="S69" i="6" s="1"/>
  <c r="P69" i="6"/>
  <c r="O69" i="6"/>
  <c r="M69" i="6"/>
  <c r="J69" i="6"/>
  <c r="K69" i="6" s="1"/>
  <c r="H69" i="6"/>
  <c r="G69" i="6"/>
  <c r="E69" i="6"/>
  <c r="D69" i="6"/>
  <c r="C69" i="6"/>
  <c r="AX68" i="6"/>
  <c r="AY68" i="6" s="1"/>
  <c r="AV68" i="6"/>
  <c r="AU68" i="6"/>
  <c r="AS68" i="6"/>
  <c r="AP68" i="6"/>
  <c r="AQ68" i="6" s="1"/>
  <c r="AN68" i="6"/>
  <c r="AM68" i="6"/>
  <c r="AK68" i="6"/>
  <c r="AH68" i="6"/>
  <c r="AI68" i="6" s="1"/>
  <c r="AF68" i="6"/>
  <c r="AE68" i="6"/>
  <c r="AC68" i="6"/>
  <c r="AA68" i="6"/>
  <c r="Z68" i="6"/>
  <c r="X68" i="6"/>
  <c r="W68" i="6"/>
  <c r="U68" i="6"/>
  <c r="R68" i="6"/>
  <c r="S68" i="6" s="1"/>
  <c r="P68" i="6"/>
  <c r="O68" i="6"/>
  <c r="M68" i="6"/>
  <c r="J68" i="6"/>
  <c r="K68" i="6" s="1"/>
  <c r="H68" i="6"/>
  <c r="G68" i="6"/>
  <c r="E68" i="6"/>
  <c r="D68" i="6"/>
  <c r="C68" i="6"/>
  <c r="AX67" i="6"/>
  <c r="AY67" i="6" s="1"/>
  <c r="AV67" i="6"/>
  <c r="AU67" i="6"/>
  <c r="AS67" i="6"/>
  <c r="AP67" i="6"/>
  <c r="AQ67" i="6" s="1"/>
  <c r="AN67" i="6"/>
  <c r="AM67" i="6"/>
  <c r="AK67" i="6"/>
  <c r="AH67" i="6"/>
  <c r="AI67" i="6" s="1"/>
  <c r="AF67" i="6"/>
  <c r="AE67" i="6"/>
  <c r="AC67" i="6"/>
  <c r="Z67" i="6"/>
  <c r="AA67" i="6" s="1"/>
  <c r="X67" i="6"/>
  <c r="W67" i="6"/>
  <c r="U67" i="6"/>
  <c r="R67" i="6"/>
  <c r="S67" i="6" s="1"/>
  <c r="P67" i="6"/>
  <c r="O67" i="6"/>
  <c r="M67" i="6"/>
  <c r="J67" i="6"/>
  <c r="K67" i="6" s="1"/>
  <c r="H67" i="6"/>
  <c r="G67" i="6"/>
  <c r="E67" i="6"/>
  <c r="D67" i="6"/>
  <c r="C67" i="6"/>
  <c r="AX66" i="6"/>
  <c r="AY66" i="6" s="1"/>
  <c r="AV66" i="6"/>
  <c r="AU66" i="6"/>
  <c r="AS66" i="6"/>
  <c r="AP66" i="6"/>
  <c r="AQ66" i="6" s="1"/>
  <c r="AN66" i="6"/>
  <c r="AM66" i="6"/>
  <c r="AK66" i="6"/>
  <c r="AH66" i="6"/>
  <c r="AI66" i="6" s="1"/>
  <c r="AF66" i="6"/>
  <c r="AE66" i="6"/>
  <c r="AC66" i="6"/>
  <c r="Z66" i="6"/>
  <c r="AA66" i="6" s="1"/>
  <c r="X66" i="6"/>
  <c r="W66" i="6"/>
  <c r="U66" i="6"/>
  <c r="R66" i="6"/>
  <c r="S66" i="6" s="1"/>
  <c r="P66" i="6"/>
  <c r="O66" i="6"/>
  <c r="M66" i="6"/>
  <c r="J66" i="6"/>
  <c r="K66" i="6" s="1"/>
  <c r="H66" i="6"/>
  <c r="G66" i="6"/>
  <c r="E66" i="6"/>
  <c r="D66" i="6"/>
  <c r="C66" i="6"/>
  <c r="AX65" i="6"/>
  <c r="AY65" i="6" s="1"/>
  <c r="AV65" i="6"/>
  <c r="AU65" i="6"/>
  <c r="AS65" i="6"/>
  <c r="AP65" i="6"/>
  <c r="AQ65" i="6" s="1"/>
  <c r="AN65" i="6"/>
  <c r="AM65" i="6"/>
  <c r="AK65" i="6"/>
  <c r="AH65" i="6"/>
  <c r="AI65" i="6" s="1"/>
  <c r="AF65" i="6"/>
  <c r="AE65" i="6"/>
  <c r="AC65" i="6"/>
  <c r="Z65" i="6"/>
  <c r="AA65" i="6" s="1"/>
  <c r="X65" i="6"/>
  <c r="W65" i="6"/>
  <c r="U65" i="6"/>
  <c r="R65" i="6"/>
  <c r="S65" i="6" s="1"/>
  <c r="P65" i="6"/>
  <c r="O65" i="6"/>
  <c r="M65" i="6"/>
  <c r="J65" i="6"/>
  <c r="K65" i="6" s="1"/>
  <c r="H65" i="6"/>
  <c r="G65" i="6"/>
  <c r="E65" i="6"/>
  <c r="D65" i="6"/>
  <c r="C65" i="6"/>
  <c r="AX64" i="6"/>
  <c r="AY64" i="6" s="1"/>
  <c r="AV64" i="6"/>
  <c r="AU64" i="6"/>
  <c r="AS64" i="6"/>
  <c r="AP64" i="6"/>
  <c r="AQ64" i="6" s="1"/>
  <c r="AN64" i="6"/>
  <c r="AM64" i="6"/>
  <c r="AK64" i="6"/>
  <c r="AI64" i="6"/>
  <c r="AH64" i="6"/>
  <c r="AF64" i="6"/>
  <c r="AE64" i="6"/>
  <c r="AC64" i="6"/>
  <c r="Z64" i="6"/>
  <c r="AA64" i="6" s="1"/>
  <c r="X64" i="6"/>
  <c r="W64" i="6"/>
  <c r="U64" i="6"/>
  <c r="R64" i="6"/>
  <c r="S64" i="6" s="1"/>
  <c r="P64" i="6"/>
  <c r="O64" i="6"/>
  <c r="M64" i="6"/>
  <c r="J64" i="6"/>
  <c r="K64" i="6" s="1"/>
  <c r="H64" i="6"/>
  <c r="G64" i="6"/>
  <c r="E64" i="6"/>
  <c r="D64" i="6"/>
  <c r="C64" i="6"/>
  <c r="AX63" i="6"/>
  <c r="AY63" i="6" s="1"/>
  <c r="AV63" i="6"/>
  <c r="AU63" i="6"/>
  <c r="AS63" i="6"/>
  <c r="AP63" i="6"/>
  <c r="AQ63" i="6" s="1"/>
  <c r="AN63" i="6"/>
  <c r="AM63" i="6"/>
  <c r="AK63" i="6"/>
  <c r="AH63" i="6"/>
  <c r="AI63" i="6" s="1"/>
  <c r="AF63" i="6"/>
  <c r="AE63" i="6"/>
  <c r="AC63" i="6"/>
  <c r="Z63" i="6"/>
  <c r="AA63" i="6" s="1"/>
  <c r="X63" i="6"/>
  <c r="W63" i="6"/>
  <c r="U63" i="6"/>
  <c r="R63" i="6"/>
  <c r="S63" i="6" s="1"/>
  <c r="P63" i="6"/>
  <c r="O63" i="6"/>
  <c r="M63" i="6"/>
  <c r="J63" i="6"/>
  <c r="K63" i="6" s="1"/>
  <c r="H63" i="6"/>
  <c r="G63" i="6"/>
  <c r="E63" i="6"/>
  <c r="D63" i="6"/>
  <c r="C63" i="6"/>
  <c r="AX61" i="6"/>
  <c r="AY61" i="6" s="1"/>
  <c r="AV61" i="6"/>
  <c r="AU61" i="6"/>
  <c r="AS61" i="6"/>
  <c r="AP61" i="6"/>
  <c r="AQ61" i="6" s="1"/>
  <c r="AN61" i="6"/>
  <c r="AM61" i="6"/>
  <c r="AK61" i="6"/>
  <c r="AH61" i="6"/>
  <c r="AI61" i="6" s="1"/>
  <c r="AF61" i="6"/>
  <c r="AE61" i="6"/>
  <c r="AC61" i="6"/>
  <c r="Z61" i="6"/>
  <c r="AA61" i="6" s="1"/>
  <c r="X61" i="6"/>
  <c r="W61" i="6"/>
  <c r="U61" i="6"/>
  <c r="R61" i="6"/>
  <c r="S61" i="6" s="1"/>
  <c r="P61" i="6"/>
  <c r="O61" i="6"/>
  <c r="M61" i="6"/>
  <c r="J61" i="6"/>
  <c r="K61" i="6" s="1"/>
  <c r="H61" i="6"/>
  <c r="G61" i="6"/>
  <c r="E61" i="6"/>
  <c r="D61" i="6"/>
  <c r="C61" i="6"/>
  <c r="AY60" i="6"/>
  <c r="AX60" i="6"/>
  <c r="AV60" i="6"/>
  <c r="AU60" i="6"/>
  <c r="AS60" i="6"/>
  <c r="AP60" i="6"/>
  <c r="AQ60" i="6" s="1"/>
  <c r="AN60" i="6"/>
  <c r="AM60" i="6"/>
  <c r="AK60" i="6"/>
  <c r="AH60" i="6"/>
  <c r="AI60" i="6" s="1"/>
  <c r="AF60" i="6"/>
  <c r="AE60" i="6"/>
  <c r="AC60" i="6"/>
  <c r="Z60" i="6"/>
  <c r="AA60" i="6" s="1"/>
  <c r="X60" i="6"/>
  <c r="W60" i="6"/>
  <c r="U60" i="6"/>
  <c r="R60" i="6"/>
  <c r="S60" i="6" s="1"/>
  <c r="P60" i="6"/>
  <c r="O60" i="6"/>
  <c r="M60" i="6"/>
  <c r="J60" i="6"/>
  <c r="K60" i="6" s="1"/>
  <c r="H60" i="6"/>
  <c r="G60" i="6"/>
  <c r="E60" i="6"/>
  <c r="D60" i="6"/>
  <c r="C60" i="6"/>
  <c r="AX59" i="6"/>
  <c r="AY59" i="6" s="1"/>
  <c r="AV59" i="6"/>
  <c r="AU59" i="6"/>
  <c r="AS59" i="6"/>
  <c r="AP59" i="6"/>
  <c r="AQ59" i="6" s="1"/>
  <c r="AN59" i="6"/>
  <c r="AM59" i="6"/>
  <c r="AK59" i="6"/>
  <c r="AH59" i="6"/>
  <c r="AI59" i="6" s="1"/>
  <c r="AF59" i="6"/>
  <c r="AE59" i="6"/>
  <c r="AC59" i="6"/>
  <c r="Z59" i="6"/>
  <c r="AA59" i="6" s="1"/>
  <c r="X59" i="6"/>
  <c r="W59" i="6"/>
  <c r="U59" i="6"/>
  <c r="R59" i="6"/>
  <c r="S59" i="6" s="1"/>
  <c r="P59" i="6"/>
  <c r="O59" i="6"/>
  <c r="M59" i="6"/>
  <c r="J59" i="6"/>
  <c r="K59" i="6" s="1"/>
  <c r="H59" i="6"/>
  <c r="G59" i="6"/>
  <c r="E59" i="6"/>
  <c r="D59" i="6"/>
  <c r="C59" i="6"/>
  <c r="AX58" i="6"/>
  <c r="AY58" i="6" s="1"/>
  <c r="AV58" i="6"/>
  <c r="AU58" i="6"/>
  <c r="AS58" i="6"/>
  <c r="AP58" i="6"/>
  <c r="AQ58" i="6" s="1"/>
  <c r="AN58" i="6"/>
  <c r="AM58" i="6"/>
  <c r="AK58" i="6"/>
  <c r="AH58" i="6"/>
  <c r="AI58" i="6" s="1"/>
  <c r="AF58" i="6"/>
  <c r="AE58" i="6"/>
  <c r="AC58" i="6"/>
  <c r="Z58" i="6"/>
  <c r="AA58" i="6" s="1"/>
  <c r="X58" i="6"/>
  <c r="W58" i="6"/>
  <c r="U58" i="6"/>
  <c r="R58" i="6"/>
  <c r="S58" i="6" s="1"/>
  <c r="P58" i="6"/>
  <c r="O58" i="6"/>
  <c r="M58" i="6"/>
  <c r="J58" i="6"/>
  <c r="K58" i="6" s="1"/>
  <c r="H58" i="6"/>
  <c r="G58" i="6"/>
  <c r="E58" i="6"/>
  <c r="D58" i="6"/>
  <c r="C58" i="6"/>
  <c r="AX57" i="6"/>
  <c r="AY57" i="6" s="1"/>
  <c r="AV57" i="6"/>
  <c r="AU57" i="6"/>
  <c r="AS57" i="6"/>
  <c r="AP57" i="6"/>
  <c r="AQ57" i="6" s="1"/>
  <c r="AN57" i="6"/>
  <c r="AM57" i="6"/>
  <c r="AK57" i="6"/>
  <c r="AI57" i="6"/>
  <c r="AH57" i="6"/>
  <c r="AF57" i="6"/>
  <c r="AE57" i="6"/>
  <c r="AC57" i="6"/>
  <c r="Z57" i="6"/>
  <c r="AA57" i="6" s="1"/>
  <c r="X57" i="6"/>
  <c r="W57" i="6"/>
  <c r="U57" i="6"/>
  <c r="R57" i="6"/>
  <c r="S57" i="6" s="1"/>
  <c r="P57" i="6"/>
  <c r="O57" i="6"/>
  <c r="M57" i="6"/>
  <c r="J57" i="6"/>
  <c r="K57" i="6" s="1"/>
  <c r="H57" i="6"/>
  <c r="G57" i="6"/>
  <c r="E57" i="6"/>
  <c r="D57" i="6"/>
  <c r="C57" i="6"/>
  <c r="AX56" i="6"/>
  <c r="AY56" i="6" s="1"/>
  <c r="AV56" i="6"/>
  <c r="AU56" i="6"/>
  <c r="AS56" i="6"/>
  <c r="AP56" i="6"/>
  <c r="AQ56" i="6" s="1"/>
  <c r="AN56" i="6"/>
  <c r="AM56" i="6"/>
  <c r="AK56" i="6"/>
  <c r="AH56" i="6"/>
  <c r="AI56" i="6" s="1"/>
  <c r="AF56" i="6"/>
  <c r="AE56" i="6"/>
  <c r="AC56" i="6"/>
  <c r="Z56" i="6"/>
  <c r="AA56" i="6" s="1"/>
  <c r="X56" i="6"/>
  <c r="W56" i="6"/>
  <c r="U56" i="6"/>
  <c r="S56" i="6"/>
  <c r="R56" i="6"/>
  <c r="P56" i="6"/>
  <c r="O56" i="6"/>
  <c r="M56" i="6"/>
  <c r="J56" i="6"/>
  <c r="K56" i="6" s="1"/>
  <c r="H56" i="6"/>
  <c r="G56" i="6"/>
  <c r="E56" i="6"/>
  <c r="D56" i="6"/>
  <c r="C56" i="6"/>
  <c r="AX55" i="6"/>
  <c r="AY55" i="6" s="1"/>
  <c r="AV55" i="6"/>
  <c r="AU55" i="6"/>
  <c r="AS55" i="6"/>
  <c r="AP55" i="6"/>
  <c r="AQ55" i="6" s="1"/>
  <c r="AN55" i="6"/>
  <c r="AM55" i="6"/>
  <c r="AK55" i="6"/>
  <c r="AH55" i="6"/>
  <c r="AI55" i="6" s="1"/>
  <c r="AF55" i="6"/>
  <c r="AE55" i="6"/>
  <c r="AC55" i="6"/>
  <c r="Z55" i="6"/>
  <c r="AA55" i="6" s="1"/>
  <c r="X55" i="6"/>
  <c r="W55" i="6"/>
  <c r="U55" i="6"/>
  <c r="R55" i="6"/>
  <c r="S55" i="6" s="1"/>
  <c r="P55" i="6"/>
  <c r="O55" i="6"/>
  <c r="M55" i="6"/>
  <c r="J55" i="6"/>
  <c r="K55" i="6" s="1"/>
  <c r="H55" i="6"/>
  <c r="G55" i="6"/>
  <c r="E55" i="6"/>
  <c r="D55" i="6"/>
  <c r="C55" i="6"/>
  <c r="AX53" i="6"/>
  <c r="AY53" i="6" s="1"/>
  <c r="AV53" i="6"/>
  <c r="AU53" i="6"/>
  <c r="AS53" i="6"/>
  <c r="AP53" i="6"/>
  <c r="AQ53" i="6" s="1"/>
  <c r="AN53" i="6"/>
  <c r="AM53" i="6"/>
  <c r="AK53" i="6"/>
  <c r="AH53" i="6"/>
  <c r="AI53" i="6" s="1"/>
  <c r="AF53" i="6"/>
  <c r="AE53" i="6"/>
  <c r="AC53" i="6"/>
  <c r="Z53" i="6"/>
  <c r="AA53" i="6" s="1"/>
  <c r="X53" i="6"/>
  <c r="W53" i="6"/>
  <c r="U53" i="6"/>
  <c r="R53" i="6"/>
  <c r="S53" i="6" s="1"/>
  <c r="P53" i="6"/>
  <c r="O53" i="6"/>
  <c r="M53" i="6"/>
  <c r="J53" i="6"/>
  <c r="K53" i="6" s="1"/>
  <c r="H53" i="6"/>
  <c r="G53" i="6"/>
  <c r="E53" i="6"/>
  <c r="D53" i="6"/>
  <c r="C53" i="6"/>
  <c r="AY52" i="6"/>
  <c r="AX52" i="6"/>
  <c r="AV52" i="6"/>
  <c r="AU52" i="6"/>
  <c r="AS52" i="6"/>
  <c r="AP52" i="6"/>
  <c r="AQ52" i="6" s="1"/>
  <c r="AN52" i="6"/>
  <c r="AM52" i="6"/>
  <c r="AK52" i="6"/>
  <c r="AH52" i="6"/>
  <c r="AI52" i="6" s="1"/>
  <c r="AF52" i="6"/>
  <c r="AE52" i="6"/>
  <c r="AC52" i="6"/>
  <c r="Z52" i="6"/>
  <c r="AA52" i="6" s="1"/>
  <c r="X52" i="6"/>
  <c r="W52" i="6"/>
  <c r="U52" i="6"/>
  <c r="R52" i="6"/>
  <c r="S52" i="6" s="1"/>
  <c r="P52" i="6"/>
  <c r="O52" i="6"/>
  <c r="M52" i="6"/>
  <c r="J52" i="6"/>
  <c r="K52" i="6" s="1"/>
  <c r="H52" i="6"/>
  <c r="G52" i="6"/>
  <c r="E52" i="6"/>
  <c r="D52" i="6"/>
  <c r="C52" i="6"/>
  <c r="AX51" i="6"/>
  <c r="AY51" i="6" s="1"/>
  <c r="AV51" i="6"/>
  <c r="AU51" i="6"/>
  <c r="AS51" i="6"/>
  <c r="AP51" i="6"/>
  <c r="AQ51" i="6" s="1"/>
  <c r="AN51" i="6"/>
  <c r="AM51" i="6"/>
  <c r="AK51" i="6"/>
  <c r="AH51" i="6"/>
  <c r="AI51" i="6" s="1"/>
  <c r="AF51" i="6"/>
  <c r="AE51" i="6"/>
  <c r="AC51" i="6"/>
  <c r="Z51" i="6"/>
  <c r="AA51" i="6" s="1"/>
  <c r="X51" i="6"/>
  <c r="W51" i="6"/>
  <c r="U51" i="6"/>
  <c r="R51" i="6"/>
  <c r="S51" i="6" s="1"/>
  <c r="P51" i="6"/>
  <c r="O51" i="6"/>
  <c r="M51" i="6"/>
  <c r="J51" i="6"/>
  <c r="K51" i="6" s="1"/>
  <c r="H51" i="6"/>
  <c r="G51" i="6"/>
  <c r="E51" i="6"/>
  <c r="D51" i="6"/>
  <c r="C51" i="6"/>
  <c r="AY50" i="6"/>
  <c r="AX50" i="6"/>
  <c r="AV50" i="6"/>
  <c r="AU50" i="6"/>
  <c r="AS50" i="6"/>
  <c r="AP50" i="6"/>
  <c r="AQ50" i="6" s="1"/>
  <c r="AN50" i="6"/>
  <c r="AM50" i="6"/>
  <c r="AK50" i="6"/>
  <c r="AH50" i="6"/>
  <c r="AI50" i="6" s="1"/>
  <c r="AF50" i="6"/>
  <c r="AE50" i="6"/>
  <c r="AC50" i="6"/>
  <c r="Z50" i="6"/>
  <c r="AA50" i="6" s="1"/>
  <c r="X50" i="6"/>
  <c r="W50" i="6"/>
  <c r="U50" i="6"/>
  <c r="R50" i="6"/>
  <c r="S50" i="6" s="1"/>
  <c r="P50" i="6"/>
  <c r="O50" i="6"/>
  <c r="M50" i="6"/>
  <c r="J50" i="6"/>
  <c r="K50" i="6" s="1"/>
  <c r="H50" i="6"/>
  <c r="G50" i="6"/>
  <c r="E50" i="6"/>
  <c r="D50" i="6"/>
  <c r="C50" i="6"/>
  <c r="AX49" i="6"/>
  <c r="AY49" i="6" s="1"/>
  <c r="AV49" i="6"/>
  <c r="AU49" i="6"/>
  <c r="AS49" i="6"/>
  <c r="AQ49" i="6"/>
  <c r="AP49" i="6"/>
  <c r="AN49" i="6"/>
  <c r="AM49" i="6"/>
  <c r="AK49" i="6"/>
  <c r="AH49" i="6"/>
  <c r="AI49" i="6" s="1"/>
  <c r="AF49" i="6"/>
  <c r="AE49" i="6"/>
  <c r="AC49" i="6"/>
  <c r="Z49" i="6"/>
  <c r="AA49" i="6" s="1"/>
  <c r="X49" i="6"/>
  <c r="W49" i="6"/>
  <c r="U49" i="6"/>
  <c r="R49" i="6"/>
  <c r="S49" i="6" s="1"/>
  <c r="P49" i="6"/>
  <c r="O49" i="6"/>
  <c r="M49" i="6"/>
  <c r="J49" i="6"/>
  <c r="K49" i="6" s="1"/>
  <c r="H49" i="6"/>
  <c r="G49" i="6"/>
  <c r="E49" i="6"/>
  <c r="D49" i="6"/>
  <c r="C49" i="6"/>
  <c r="AX48" i="6"/>
  <c r="AY48" i="6" s="1"/>
  <c r="AV48" i="6"/>
  <c r="AU48" i="6"/>
  <c r="AS48" i="6"/>
  <c r="AP48" i="6"/>
  <c r="AQ48" i="6" s="1"/>
  <c r="AN48" i="6"/>
  <c r="AM48" i="6"/>
  <c r="AK48" i="6"/>
  <c r="AH48" i="6"/>
  <c r="AI48" i="6" s="1"/>
  <c r="AF48" i="6"/>
  <c r="AE48" i="6"/>
  <c r="AC48" i="6"/>
  <c r="Z48" i="6"/>
  <c r="AA48" i="6" s="1"/>
  <c r="X48" i="6"/>
  <c r="W48" i="6"/>
  <c r="U48" i="6"/>
  <c r="S48" i="6"/>
  <c r="R48" i="6"/>
  <c r="P48" i="6"/>
  <c r="O48" i="6"/>
  <c r="M48" i="6"/>
  <c r="J48" i="6"/>
  <c r="K48" i="6" s="1"/>
  <c r="H48" i="6"/>
  <c r="G48" i="6"/>
  <c r="E48" i="6"/>
  <c r="D48" i="6"/>
  <c r="C48" i="6"/>
  <c r="AX47" i="6"/>
  <c r="AY47" i="6" s="1"/>
  <c r="AV47" i="6"/>
  <c r="AU47" i="6"/>
  <c r="AS47" i="6"/>
  <c r="AP47" i="6"/>
  <c r="AQ47" i="6" s="1"/>
  <c r="AN47" i="6"/>
  <c r="AM47" i="6"/>
  <c r="AK47" i="6"/>
  <c r="AH47" i="6"/>
  <c r="AI47" i="6" s="1"/>
  <c r="AF47" i="6"/>
  <c r="AE47" i="6"/>
  <c r="AC47" i="6"/>
  <c r="Z47" i="6"/>
  <c r="AA47" i="6" s="1"/>
  <c r="X47" i="6"/>
  <c r="W47" i="6"/>
  <c r="U47" i="6"/>
  <c r="R47" i="6"/>
  <c r="S47" i="6" s="1"/>
  <c r="P47" i="6"/>
  <c r="O47" i="6"/>
  <c r="M47" i="6"/>
  <c r="J47" i="6"/>
  <c r="K47" i="6" s="1"/>
  <c r="H47" i="6"/>
  <c r="G47" i="6"/>
  <c r="E47" i="6"/>
  <c r="D47" i="6"/>
  <c r="C47" i="6"/>
  <c r="AR38" i="6"/>
  <c r="AQ38" i="6"/>
  <c r="AN38" i="6"/>
  <c r="AM38" i="6"/>
  <c r="AL38" i="6"/>
  <c r="AK38" i="6"/>
  <c r="AH38" i="6"/>
  <c r="AG38" i="6"/>
  <c r="AF38" i="6"/>
  <c r="AE38" i="6"/>
  <c r="AD38" i="6"/>
  <c r="AC38" i="6"/>
  <c r="Z38" i="6"/>
  <c r="Y38" i="6"/>
  <c r="X38" i="6"/>
  <c r="W38" i="6"/>
  <c r="T38" i="6"/>
  <c r="S38" i="6"/>
  <c r="R38" i="6"/>
  <c r="Q38" i="6"/>
  <c r="P38" i="6"/>
  <c r="O38" i="6"/>
  <c r="L38" i="6"/>
  <c r="K38" i="6"/>
  <c r="J38" i="6"/>
  <c r="I38" i="6"/>
  <c r="F38" i="6"/>
  <c r="E38" i="6"/>
  <c r="D38" i="6"/>
  <c r="C38" i="6"/>
  <c r="AR37" i="6"/>
  <c r="AQ37" i="6"/>
  <c r="AN37" i="6"/>
  <c r="AM37" i="6"/>
  <c r="AL37" i="6"/>
  <c r="AK37" i="6"/>
  <c r="AH37" i="6"/>
  <c r="AG37" i="6"/>
  <c r="AF37" i="6"/>
  <c r="AE37" i="6"/>
  <c r="AD37" i="6"/>
  <c r="AC37" i="6"/>
  <c r="Z37" i="6"/>
  <c r="Y37" i="6"/>
  <c r="X37" i="6"/>
  <c r="W37" i="6"/>
  <c r="T37" i="6"/>
  <c r="S37" i="6"/>
  <c r="R37" i="6"/>
  <c r="Q37" i="6"/>
  <c r="P37" i="6"/>
  <c r="O37" i="6"/>
  <c r="L37" i="6"/>
  <c r="K37" i="6"/>
  <c r="J37" i="6"/>
  <c r="I37" i="6"/>
  <c r="F37" i="6"/>
  <c r="E37" i="6"/>
  <c r="D37" i="6"/>
  <c r="C37" i="6"/>
  <c r="AR36" i="6"/>
  <c r="AQ36" i="6"/>
  <c r="AN36" i="6"/>
  <c r="AM36" i="6"/>
  <c r="AL36" i="6"/>
  <c r="AK36" i="6"/>
  <c r="AH36" i="6"/>
  <c r="AG36" i="6"/>
  <c r="AF36" i="6"/>
  <c r="AE36" i="6"/>
  <c r="AD36" i="6"/>
  <c r="AC36" i="6"/>
  <c r="Z36" i="6"/>
  <c r="Y36" i="6"/>
  <c r="X36" i="6"/>
  <c r="W36" i="6"/>
  <c r="T36" i="6"/>
  <c r="S36" i="6"/>
  <c r="R36" i="6"/>
  <c r="Q36" i="6"/>
  <c r="P36" i="6"/>
  <c r="O36" i="6"/>
  <c r="L36" i="6"/>
  <c r="K36" i="6"/>
  <c r="J36" i="6"/>
  <c r="I36" i="6"/>
  <c r="F36" i="6"/>
  <c r="E36" i="6"/>
  <c r="D36" i="6"/>
  <c r="C36" i="6"/>
  <c r="AR35" i="6"/>
  <c r="AQ35" i="6"/>
  <c r="AN35" i="6"/>
  <c r="AM35" i="6"/>
  <c r="AL35" i="6"/>
  <c r="AK35" i="6"/>
  <c r="AH35" i="6"/>
  <c r="AG35" i="6"/>
  <c r="AF35" i="6"/>
  <c r="AE35" i="6"/>
  <c r="AD35" i="6"/>
  <c r="AC35" i="6"/>
  <c r="Z35" i="6"/>
  <c r="Y35" i="6"/>
  <c r="X35" i="6"/>
  <c r="W35" i="6"/>
  <c r="T35" i="6"/>
  <c r="S35" i="6"/>
  <c r="R35" i="6"/>
  <c r="Q35" i="6"/>
  <c r="P35" i="6"/>
  <c r="O35" i="6"/>
  <c r="L35" i="6"/>
  <c r="K35" i="6"/>
  <c r="J35" i="6"/>
  <c r="I35" i="6"/>
  <c r="F35" i="6"/>
  <c r="E35" i="6"/>
  <c r="D35" i="6"/>
  <c r="C35" i="6"/>
  <c r="AR34" i="6"/>
  <c r="AQ34" i="6"/>
  <c r="AN34" i="6"/>
  <c r="AM34" i="6"/>
  <c r="AL34" i="6"/>
  <c r="AK34" i="6"/>
  <c r="AH34" i="6"/>
  <c r="AG34" i="6"/>
  <c r="AF34" i="6"/>
  <c r="AE34" i="6"/>
  <c r="AD34" i="6"/>
  <c r="AC34" i="6"/>
  <c r="Z34" i="6"/>
  <c r="Y34" i="6"/>
  <c r="X34" i="6"/>
  <c r="W34" i="6"/>
  <c r="T34" i="6"/>
  <c r="S34" i="6"/>
  <c r="R34" i="6"/>
  <c r="Q34" i="6"/>
  <c r="P34" i="6"/>
  <c r="O34" i="6"/>
  <c r="L34" i="6"/>
  <c r="K34" i="6"/>
  <c r="J34" i="6"/>
  <c r="I34" i="6"/>
  <c r="F34" i="6"/>
  <c r="E34" i="6"/>
  <c r="D34" i="6"/>
  <c r="C34" i="6"/>
  <c r="AR33" i="6"/>
  <c r="AQ33" i="6"/>
  <c r="AN33" i="6"/>
  <c r="AM33" i="6"/>
  <c r="AL33" i="6"/>
  <c r="AK33" i="6"/>
  <c r="AH33" i="6"/>
  <c r="AG33" i="6"/>
  <c r="AF33" i="6"/>
  <c r="AE33" i="6"/>
  <c r="AD33" i="6"/>
  <c r="AC33" i="6"/>
  <c r="Z33" i="6"/>
  <c r="Y33" i="6"/>
  <c r="X33" i="6"/>
  <c r="W33" i="6"/>
  <c r="T33" i="6"/>
  <c r="S33" i="6"/>
  <c r="R33" i="6"/>
  <c r="Q33" i="6"/>
  <c r="P33" i="6"/>
  <c r="O33" i="6"/>
  <c r="L33" i="6"/>
  <c r="K33" i="6"/>
  <c r="J33" i="6"/>
  <c r="I33" i="6"/>
  <c r="F33" i="6"/>
  <c r="E33" i="6"/>
  <c r="D33" i="6"/>
  <c r="C33" i="6"/>
  <c r="AR32" i="6"/>
  <c r="AQ32" i="6"/>
  <c r="AQ39" i="6" s="1" a="1"/>
  <c r="AQ39" i="6" s="1"/>
  <c r="AN32" i="6"/>
  <c r="AM32" i="6"/>
  <c r="AL32" i="6"/>
  <c r="AK32" i="6"/>
  <c r="AH32" i="6"/>
  <c r="AG32" i="6"/>
  <c r="AF32" i="6"/>
  <c r="AE32" i="6"/>
  <c r="AD32" i="6"/>
  <c r="AC32" i="6"/>
  <c r="Z32" i="6"/>
  <c r="Y32" i="6"/>
  <c r="X32" i="6"/>
  <c r="W32" i="6"/>
  <c r="T32" i="6"/>
  <c r="S32" i="6"/>
  <c r="R32" i="6"/>
  <c r="Q32" i="6"/>
  <c r="P32" i="6"/>
  <c r="O32" i="6"/>
  <c r="L32" i="6"/>
  <c r="K32" i="6"/>
  <c r="J32" i="6"/>
  <c r="I32" i="6"/>
  <c r="F32" i="6"/>
  <c r="E32" i="6"/>
  <c r="D32" i="6"/>
  <c r="C32" i="6"/>
  <c r="AR30" i="6" a="1"/>
  <c r="AR30" i="6" s="1"/>
  <c r="AQ30" i="6" a="1"/>
  <c r="AQ30" i="6" s="1"/>
  <c r="AN30" i="6"/>
  <c r="AM30" i="6"/>
  <c r="AL30" i="6" a="1"/>
  <c r="AL30" i="6" s="1"/>
  <c r="AK30" i="6" a="1"/>
  <c r="AK30" i="6" s="1"/>
  <c r="AH30" i="6"/>
  <c r="AG30" i="6"/>
  <c r="AF30" i="6"/>
  <c r="AE30" i="6"/>
  <c r="AD30" i="6" a="1"/>
  <c r="AD30" i="6" s="1"/>
  <c r="AC30" i="6" a="1"/>
  <c r="AC30" i="6" s="1"/>
  <c r="Z30" i="6"/>
  <c r="Y30" i="6"/>
  <c r="X30" i="6" a="1"/>
  <c r="X30" i="6" s="1"/>
  <c r="W30" i="6" a="1"/>
  <c r="W30" i="6" s="1"/>
  <c r="T30" i="6"/>
  <c r="S30" i="6"/>
  <c r="R30" i="6"/>
  <c r="Q30" i="6"/>
  <c r="P30" i="6" a="1"/>
  <c r="P30" i="6" s="1"/>
  <c r="O30" i="6" a="1"/>
  <c r="O30" i="6" s="1"/>
  <c r="L30" i="6"/>
  <c r="K30" i="6"/>
  <c r="J30" i="6" a="1"/>
  <c r="J30" i="6" s="1"/>
  <c r="I30" i="6" a="1"/>
  <c r="I30" i="6" s="1"/>
  <c r="F30" i="6"/>
  <c r="E30" i="6"/>
  <c r="D30" i="6"/>
  <c r="C30" i="6"/>
  <c r="AP29" i="6"/>
  <c r="AO29" i="6"/>
  <c r="AJ29" i="6"/>
  <c r="AI29" i="6"/>
  <c r="AB29" i="6"/>
  <c r="AA29" i="6"/>
  <c r="V29" i="6"/>
  <c r="U29" i="6"/>
  <c r="N29" i="6"/>
  <c r="M29" i="6"/>
  <c r="H29" i="6"/>
  <c r="G29" i="6"/>
  <c r="AP28" i="6"/>
  <c r="AO28" i="6"/>
  <c r="AJ28" i="6"/>
  <c r="AI28" i="6"/>
  <c r="AB28" i="6"/>
  <c r="AA28" i="6"/>
  <c r="V28" i="6"/>
  <c r="U28" i="6"/>
  <c r="N28" i="6"/>
  <c r="M28" i="6"/>
  <c r="H28" i="6"/>
  <c r="G28" i="6"/>
  <c r="AP27" i="6"/>
  <c r="AO27" i="6"/>
  <c r="AJ27" i="6"/>
  <c r="AI27" i="6"/>
  <c r="AB27" i="6"/>
  <c r="AA27" i="6"/>
  <c r="V27" i="6"/>
  <c r="U27" i="6"/>
  <c r="N27" i="6"/>
  <c r="M27" i="6"/>
  <c r="H27" i="6"/>
  <c r="G27" i="6"/>
  <c r="AP26" i="6"/>
  <c r="AO26" i="6"/>
  <c r="AJ26" i="6"/>
  <c r="AI26" i="6"/>
  <c r="AB26" i="6"/>
  <c r="AA26" i="6"/>
  <c r="V26" i="6"/>
  <c r="U26" i="6"/>
  <c r="N26" i="6"/>
  <c r="M26" i="6"/>
  <c r="H26" i="6"/>
  <c r="G26" i="6"/>
  <c r="AP25" i="6"/>
  <c r="AO25" i="6"/>
  <c r="AJ25" i="6"/>
  <c r="AI25" i="6"/>
  <c r="AB25" i="6"/>
  <c r="AA25" i="6"/>
  <c r="V25" i="6"/>
  <c r="U25" i="6"/>
  <c r="N25" i="6"/>
  <c r="M25" i="6"/>
  <c r="H25" i="6"/>
  <c r="G25" i="6"/>
  <c r="AP24" i="6"/>
  <c r="AO24" i="6"/>
  <c r="AJ24" i="6"/>
  <c r="AI24" i="6"/>
  <c r="AB24" i="6"/>
  <c r="AA24" i="6"/>
  <c r="V24" i="6"/>
  <c r="U24" i="6"/>
  <c r="N24" i="6"/>
  <c r="M24" i="6"/>
  <c r="H24" i="6"/>
  <c r="G24" i="6"/>
  <c r="AP23" i="6"/>
  <c r="AO23" i="6"/>
  <c r="AJ23" i="6"/>
  <c r="AI23" i="6"/>
  <c r="AB23" i="6"/>
  <c r="AA23" i="6"/>
  <c r="V23" i="6"/>
  <c r="U23" i="6"/>
  <c r="N23" i="6"/>
  <c r="M23" i="6"/>
  <c r="H23" i="6"/>
  <c r="G23" i="6"/>
  <c r="AR22" i="6" a="1"/>
  <c r="AR22" i="6" s="1"/>
  <c r="AQ22" i="6" a="1"/>
  <c r="AQ22" i="6" s="1"/>
  <c r="AN22" i="6"/>
  <c r="AM22" i="6"/>
  <c r="AL22" i="6" a="1"/>
  <c r="AL22" i="6" s="1"/>
  <c r="AK22" i="6" a="1"/>
  <c r="AK22" i="6" s="1"/>
  <c r="AH22" i="6"/>
  <c r="AG22" i="6"/>
  <c r="AF22" i="6"/>
  <c r="AE22" i="6"/>
  <c r="AD22" i="6" a="1"/>
  <c r="AD22" i="6" s="1"/>
  <c r="AC22" i="6" a="1"/>
  <c r="AC22" i="6" s="1"/>
  <c r="Z22" i="6"/>
  <c r="Y22" i="6"/>
  <c r="X22" i="6" a="1"/>
  <c r="X22" i="6" s="1"/>
  <c r="W22" i="6" a="1"/>
  <c r="W22" i="6" s="1"/>
  <c r="T22" i="6"/>
  <c r="S22" i="6"/>
  <c r="R22" i="6"/>
  <c r="Q22" i="6"/>
  <c r="P22" i="6" a="1"/>
  <c r="P22" i="6" s="1"/>
  <c r="O22" i="6" a="1"/>
  <c r="O22" i="6" s="1"/>
  <c r="L22" i="6"/>
  <c r="K22" i="6"/>
  <c r="J22" i="6" a="1"/>
  <c r="J22" i="6" s="1"/>
  <c r="I22" i="6" a="1"/>
  <c r="I22" i="6" s="1"/>
  <c r="F22" i="6"/>
  <c r="E22" i="6"/>
  <c r="D22" i="6"/>
  <c r="C22" i="6"/>
  <c r="AP21" i="6"/>
  <c r="AO21" i="6"/>
  <c r="AJ21" i="6"/>
  <c r="AI21" i="6"/>
  <c r="AB21" i="6"/>
  <c r="AA21" i="6"/>
  <c r="V21" i="6"/>
  <c r="U21" i="6"/>
  <c r="N21" i="6"/>
  <c r="M21" i="6"/>
  <c r="H21" i="6"/>
  <c r="G21" i="6"/>
  <c r="AP20" i="6"/>
  <c r="AO20" i="6"/>
  <c r="AJ20" i="6"/>
  <c r="AI20" i="6"/>
  <c r="AB20" i="6"/>
  <c r="AA20" i="6"/>
  <c r="V20" i="6"/>
  <c r="U20" i="6"/>
  <c r="N20" i="6"/>
  <c r="M20" i="6"/>
  <c r="H20" i="6"/>
  <c r="G20" i="6"/>
  <c r="AP19" i="6"/>
  <c r="AO19" i="6"/>
  <c r="AJ19" i="6"/>
  <c r="AI19" i="6"/>
  <c r="AB19" i="6"/>
  <c r="AA19" i="6"/>
  <c r="V19" i="6"/>
  <c r="U19" i="6"/>
  <c r="N19" i="6"/>
  <c r="M19" i="6"/>
  <c r="H19" i="6"/>
  <c r="G19" i="6"/>
  <c r="AP18" i="6"/>
  <c r="AO18" i="6"/>
  <c r="AJ18" i="6"/>
  <c r="AI18" i="6"/>
  <c r="AB18" i="6"/>
  <c r="AA18" i="6"/>
  <c r="V18" i="6"/>
  <c r="U18" i="6"/>
  <c r="N18" i="6"/>
  <c r="M18" i="6"/>
  <c r="H18" i="6"/>
  <c r="G18" i="6"/>
  <c r="AP17" i="6"/>
  <c r="AO17" i="6"/>
  <c r="AJ17" i="6"/>
  <c r="AI17" i="6"/>
  <c r="AB17" i="6"/>
  <c r="AA17" i="6"/>
  <c r="V17" i="6"/>
  <c r="U17" i="6"/>
  <c r="N17" i="6"/>
  <c r="M17" i="6"/>
  <c r="H17" i="6"/>
  <c r="G17" i="6"/>
  <c r="AP16" i="6"/>
  <c r="AO16" i="6"/>
  <c r="AJ16" i="6"/>
  <c r="AI16" i="6"/>
  <c r="AB16" i="6"/>
  <c r="AA16" i="6"/>
  <c r="V16" i="6"/>
  <c r="U16" i="6"/>
  <c r="N16" i="6"/>
  <c r="M16" i="6"/>
  <c r="H16" i="6"/>
  <c r="G16" i="6"/>
  <c r="AP15" i="6"/>
  <c r="AO15" i="6"/>
  <c r="AJ15" i="6"/>
  <c r="AI15" i="6"/>
  <c r="AB15" i="6"/>
  <c r="AA15" i="6"/>
  <c r="V15" i="6"/>
  <c r="U15" i="6"/>
  <c r="N15" i="6"/>
  <c r="M15" i="6"/>
  <c r="H15" i="6"/>
  <c r="G15" i="6"/>
  <c r="AR14" i="6" a="1"/>
  <c r="AR14" i="6" s="1"/>
  <c r="AQ14" i="6" a="1"/>
  <c r="AQ14" i="6" s="1"/>
  <c r="AN14" i="6"/>
  <c r="AM14" i="6"/>
  <c r="AL14" i="6" a="1"/>
  <c r="AL14" i="6" s="1"/>
  <c r="AK14" i="6" a="1"/>
  <c r="AK14" i="6" s="1"/>
  <c r="AH14" i="6"/>
  <c r="AG14" i="6"/>
  <c r="AF14" i="6"/>
  <c r="AE14" i="6"/>
  <c r="AD14" i="6" a="1"/>
  <c r="AD14" i="6" s="1"/>
  <c r="AC14" i="6" a="1"/>
  <c r="AC14" i="6" s="1"/>
  <c r="Z14" i="6"/>
  <c r="Y14" i="6"/>
  <c r="X14" i="6" a="1"/>
  <c r="X14" i="6" s="1"/>
  <c r="W14" i="6" a="1"/>
  <c r="W14" i="6" s="1"/>
  <c r="T14" i="6"/>
  <c r="S14" i="6"/>
  <c r="R14" i="6"/>
  <c r="Q14" i="6"/>
  <c r="P14" i="6" a="1"/>
  <c r="P14" i="6" s="1"/>
  <c r="O14" i="6" a="1"/>
  <c r="O14" i="6" s="1"/>
  <c r="L14" i="6"/>
  <c r="K14" i="6"/>
  <c r="J14" i="6" a="1"/>
  <c r="J14" i="6" s="1"/>
  <c r="I14" i="6" a="1"/>
  <c r="I14" i="6" s="1"/>
  <c r="F14" i="6"/>
  <c r="E14" i="6"/>
  <c r="D14" i="6"/>
  <c r="D31" i="6" s="1"/>
  <c r="C14" i="6"/>
  <c r="AP13" i="6"/>
  <c r="AO13" i="6"/>
  <c r="AJ13" i="6"/>
  <c r="AI13" i="6"/>
  <c r="AB13" i="6"/>
  <c r="AA13" i="6"/>
  <c r="V13" i="6"/>
  <c r="U13" i="6"/>
  <c r="N13" i="6"/>
  <c r="M13" i="6"/>
  <c r="H13" i="6"/>
  <c r="G13" i="6"/>
  <c r="AP12" i="6"/>
  <c r="AO12" i="6"/>
  <c r="AJ12" i="6"/>
  <c r="AI12" i="6"/>
  <c r="AB12" i="6"/>
  <c r="AA12" i="6"/>
  <c r="V12" i="6"/>
  <c r="U12" i="6"/>
  <c r="N12" i="6"/>
  <c r="M12" i="6"/>
  <c r="H12" i="6"/>
  <c r="G12" i="6"/>
  <c r="AP11" i="6"/>
  <c r="AO11" i="6"/>
  <c r="AJ11" i="6"/>
  <c r="AI11" i="6"/>
  <c r="AB11" i="6"/>
  <c r="AA11" i="6"/>
  <c r="V11" i="6"/>
  <c r="U11" i="6"/>
  <c r="N11" i="6"/>
  <c r="M11" i="6"/>
  <c r="H11" i="6"/>
  <c r="G11" i="6"/>
  <c r="AP10" i="6"/>
  <c r="AO10" i="6"/>
  <c r="AJ10" i="6"/>
  <c r="AI10" i="6"/>
  <c r="AB10" i="6"/>
  <c r="AA10" i="6"/>
  <c r="V10" i="6"/>
  <c r="U10" i="6"/>
  <c r="N10" i="6"/>
  <c r="M10" i="6"/>
  <c r="H10" i="6"/>
  <c r="G10" i="6"/>
  <c r="AP9" i="6"/>
  <c r="AO9" i="6"/>
  <c r="AJ9" i="6"/>
  <c r="AI9" i="6"/>
  <c r="AB9" i="6"/>
  <c r="AA9" i="6"/>
  <c r="V9" i="6"/>
  <c r="U9" i="6"/>
  <c r="N9" i="6"/>
  <c r="M9" i="6"/>
  <c r="H9" i="6"/>
  <c r="G9" i="6"/>
  <c r="AP8" i="6"/>
  <c r="AO8" i="6"/>
  <c r="AJ8" i="6"/>
  <c r="AI8" i="6"/>
  <c r="AB8" i="6"/>
  <c r="AA8" i="6"/>
  <c r="V8" i="6"/>
  <c r="U8" i="6"/>
  <c r="N8" i="6"/>
  <c r="M8" i="6"/>
  <c r="H8" i="6"/>
  <c r="G8" i="6"/>
  <c r="AP7" i="6"/>
  <c r="AO7" i="6"/>
  <c r="AJ7" i="6"/>
  <c r="AI7" i="6"/>
  <c r="AB7" i="6"/>
  <c r="AA7" i="6"/>
  <c r="V7" i="6"/>
  <c r="U7" i="6"/>
  <c r="N7" i="6"/>
  <c r="M7" i="6"/>
  <c r="H7" i="6"/>
  <c r="G7" i="6"/>
  <c r="AY69" i="5"/>
  <c r="AI69" i="5"/>
  <c r="AA69" i="5"/>
  <c r="S69" i="5"/>
  <c r="K69" i="5"/>
  <c r="AY68" i="5"/>
  <c r="AQ68" i="5"/>
  <c r="AI68" i="5"/>
  <c r="AA68" i="5"/>
  <c r="K68" i="5"/>
  <c r="AY67" i="5"/>
  <c r="AQ67" i="5"/>
  <c r="AI67" i="5"/>
  <c r="AA67" i="5"/>
  <c r="S67" i="5"/>
  <c r="AQ66" i="5"/>
  <c r="AI66" i="5"/>
  <c r="AA66" i="5"/>
  <c r="S66" i="5"/>
  <c r="K66" i="5"/>
  <c r="AY65" i="5"/>
  <c r="AI65" i="5"/>
  <c r="AA65" i="5"/>
  <c r="S65" i="5"/>
  <c r="K65" i="5"/>
  <c r="AY64" i="5"/>
  <c r="AQ64" i="5"/>
  <c r="AI64" i="5"/>
  <c r="AA64" i="5"/>
  <c r="K64" i="5"/>
  <c r="AQ63" i="5"/>
  <c r="AA63" i="5"/>
  <c r="AI61" i="5"/>
  <c r="S61" i="5"/>
  <c r="K61" i="5"/>
  <c r="AY59" i="5"/>
  <c r="AI59" i="5"/>
  <c r="AY58" i="5"/>
  <c r="AA58" i="5"/>
  <c r="K57" i="5"/>
  <c r="AY55" i="5"/>
  <c r="AQ55" i="5"/>
  <c r="AI55" i="5"/>
  <c r="AY53" i="5"/>
  <c r="AI53" i="5"/>
  <c r="AA53" i="5"/>
  <c r="S53" i="5"/>
  <c r="K53" i="5"/>
  <c r="AY52" i="5"/>
  <c r="AI52" i="5"/>
  <c r="AY51" i="5"/>
  <c r="AQ51" i="5"/>
  <c r="AA51" i="5"/>
  <c r="S51" i="5"/>
  <c r="K51" i="5"/>
  <c r="AY50" i="5"/>
  <c r="AI50" i="5"/>
  <c r="AY49" i="5"/>
  <c r="AQ49" i="5"/>
  <c r="AA49" i="5"/>
  <c r="S49" i="5"/>
  <c r="K49" i="5"/>
  <c r="AY48" i="5"/>
  <c r="AI48" i="5"/>
  <c r="S48" i="5"/>
  <c r="AY47" i="5"/>
  <c r="AQ47" i="5"/>
  <c r="AA47" i="5"/>
  <c r="S47" i="5"/>
  <c r="AR38" i="5"/>
  <c r="AQ38" i="5"/>
  <c r="AN38" i="5"/>
  <c r="AM38" i="5"/>
  <c r="AS78" i="5" s="1"/>
  <c r="AL38" i="5"/>
  <c r="AK38" i="5"/>
  <c r="AM78" i="5" s="1"/>
  <c r="AH38" i="5"/>
  <c r="AG38" i="5"/>
  <c r="AK78" i="5" s="1"/>
  <c r="AF38" i="5"/>
  <c r="AE38" i="5"/>
  <c r="AD38" i="5"/>
  <c r="AC38" i="5"/>
  <c r="Z38" i="5"/>
  <c r="Y38" i="5"/>
  <c r="AC78" i="5" s="1"/>
  <c r="X38" i="5"/>
  <c r="W38" i="5"/>
  <c r="W78" i="5" s="1"/>
  <c r="T38" i="5"/>
  <c r="S38" i="5"/>
  <c r="R38" i="5"/>
  <c r="Q38" i="5"/>
  <c r="P38" i="5"/>
  <c r="O38" i="5"/>
  <c r="L38" i="5"/>
  <c r="K38" i="5"/>
  <c r="M78" i="5" s="1"/>
  <c r="J38" i="5"/>
  <c r="I38" i="5"/>
  <c r="F38" i="5"/>
  <c r="E38" i="5"/>
  <c r="E78" i="5" s="1"/>
  <c r="D38" i="5"/>
  <c r="C38" i="5"/>
  <c r="AR37" i="5"/>
  <c r="AQ37" i="5"/>
  <c r="AN37" i="5"/>
  <c r="AM37" i="5"/>
  <c r="AL37" i="5"/>
  <c r="AK37" i="5"/>
  <c r="AH37" i="5"/>
  <c r="AG37" i="5"/>
  <c r="AK77" i="5" s="1"/>
  <c r="AF37" i="5"/>
  <c r="AE37" i="5"/>
  <c r="AD37" i="5"/>
  <c r="AC37" i="5"/>
  <c r="Z37" i="5"/>
  <c r="Y37" i="5"/>
  <c r="AC77" i="5" s="1"/>
  <c r="X37" i="5"/>
  <c r="W37" i="5"/>
  <c r="T37" i="5"/>
  <c r="S37" i="5"/>
  <c r="U77" i="5" s="1"/>
  <c r="R37" i="5"/>
  <c r="Q37" i="5"/>
  <c r="P37" i="5"/>
  <c r="O37" i="5"/>
  <c r="L37" i="5"/>
  <c r="K37" i="5"/>
  <c r="M77" i="5" s="1"/>
  <c r="J37" i="5"/>
  <c r="I37" i="5"/>
  <c r="F37" i="5"/>
  <c r="E37" i="5"/>
  <c r="D37" i="5"/>
  <c r="C37" i="5"/>
  <c r="AR36" i="5"/>
  <c r="AQ36" i="5"/>
  <c r="AU76" i="5" s="1"/>
  <c r="AN36" i="5"/>
  <c r="AM36" i="5"/>
  <c r="AS76" i="5" s="1"/>
  <c r="AL36" i="5"/>
  <c r="AK36" i="5"/>
  <c r="AH36" i="5"/>
  <c r="AG36" i="5"/>
  <c r="AK76" i="5" s="1"/>
  <c r="AF36" i="5"/>
  <c r="AE36" i="5"/>
  <c r="AD36" i="5"/>
  <c r="AC36" i="5"/>
  <c r="Z36" i="5"/>
  <c r="Y36" i="5"/>
  <c r="X36" i="5"/>
  <c r="W36" i="5"/>
  <c r="T36" i="5"/>
  <c r="S36" i="5"/>
  <c r="U76" i="5" s="1"/>
  <c r="R36" i="5"/>
  <c r="Q36" i="5"/>
  <c r="P36" i="5"/>
  <c r="O36" i="5"/>
  <c r="L36" i="5"/>
  <c r="K36" i="5"/>
  <c r="M76" i="5" s="1"/>
  <c r="J36" i="5"/>
  <c r="I36" i="5"/>
  <c r="F36" i="5"/>
  <c r="E36" i="5"/>
  <c r="E76" i="5" s="1"/>
  <c r="D36" i="5"/>
  <c r="C36" i="5"/>
  <c r="AR35" i="5"/>
  <c r="AQ35" i="5"/>
  <c r="AN35" i="5"/>
  <c r="AM35" i="5"/>
  <c r="AS75" i="5" s="1"/>
  <c r="AL35" i="5"/>
  <c r="AK35" i="5"/>
  <c r="AH35" i="5"/>
  <c r="AG35" i="5"/>
  <c r="AF35" i="5"/>
  <c r="AE35" i="5"/>
  <c r="AD35" i="5"/>
  <c r="AC35" i="5"/>
  <c r="Z35" i="5"/>
  <c r="Y35" i="5"/>
  <c r="AC75" i="5" s="1"/>
  <c r="X35" i="5"/>
  <c r="W35" i="5"/>
  <c r="T35" i="5"/>
  <c r="S35" i="5"/>
  <c r="U75" i="5" s="1"/>
  <c r="R35" i="5"/>
  <c r="Q35" i="5"/>
  <c r="P35" i="5"/>
  <c r="O35" i="5"/>
  <c r="L35" i="5"/>
  <c r="K35" i="5"/>
  <c r="J35" i="5"/>
  <c r="I35" i="5"/>
  <c r="F35" i="5"/>
  <c r="E35" i="5"/>
  <c r="E75" i="5" s="1"/>
  <c r="D35" i="5"/>
  <c r="C35" i="5"/>
  <c r="AR34" i="5"/>
  <c r="AQ34" i="5"/>
  <c r="AN34" i="5"/>
  <c r="AM34" i="5"/>
  <c r="AS74" i="5" s="1"/>
  <c r="AL34" i="5"/>
  <c r="AK34" i="5"/>
  <c r="AH34" i="5"/>
  <c r="AG34" i="5"/>
  <c r="AK74" i="5" s="1"/>
  <c r="AF34" i="5"/>
  <c r="AE34" i="5"/>
  <c r="AD34" i="5"/>
  <c r="AC34" i="5"/>
  <c r="Z34" i="5"/>
  <c r="Y34" i="5"/>
  <c r="AC74" i="5" s="1"/>
  <c r="X34" i="5"/>
  <c r="W34" i="5"/>
  <c r="W74" i="5" s="1"/>
  <c r="T34" i="5"/>
  <c r="S34" i="5"/>
  <c r="R34" i="5"/>
  <c r="Q34" i="5"/>
  <c r="P34" i="5"/>
  <c r="O34" i="5"/>
  <c r="L34" i="5"/>
  <c r="K34" i="5"/>
  <c r="M74" i="5" s="1"/>
  <c r="J34" i="5"/>
  <c r="I34" i="5"/>
  <c r="F34" i="5"/>
  <c r="E34" i="5"/>
  <c r="E74" i="5" s="1"/>
  <c r="D34" i="5"/>
  <c r="C34" i="5"/>
  <c r="AR33" i="5"/>
  <c r="AQ33" i="5"/>
  <c r="AU73" i="5" s="1"/>
  <c r="AN33" i="5"/>
  <c r="AM33" i="5"/>
  <c r="AL33" i="5"/>
  <c r="AK33" i="5"/>
  <c r="AH33" i="5"/>
  <c r="AG33" i="5"/>
  <c r="AK73" i="5" s="1"/>
  <c r="AF33" i="5"/>
  <c r="AE33" i="5"/>
  <c r="AD33" i="5"/>
  <c r="AC33" i="5"/>
  <c r="Z33" i="5"/>
  <c r="Y33" i="5"/>
  <c r="AC73" i="5" s="1"/>
  <c r="X33" i="5"/>
  <c r="W33" i="5"/>
  <c r="T33" i="5"/>
  <c r="S33" i="5"/>
  <c r="U73" i="5" s="1"/>
  <c r="R33" i="5"/>
  <c r="Q33" i="5"/>
  <c r="P33" i="5"/>
  <c r="O33" i="5"/>
  <c r="L33" i="5"/>
  <c r="K33" i="5"/>
  <c r="M73" i="5" s="1"/>
  <c r="J33" i="5"/>
  <c r="I33" i="5"/>
  <c r="F33" i="5"/>
  <c r="E33" i="5"/>
  <c r="D33" i="5"/>
  <c r="C33" i="5"/>
  <c r="AR32" i="5"/>
  <c r="AQ32" i="5"/>
  <c r="AN32" i="5"/>
  <c r="AM32" i="5"/>
  <c r="AS72" i="5" s="1"/>
  <c r="AL32" i="5"/>
  <c r="AK32" i="5"/>
  <c r="AH32" i="5"/>
  <c r="AG32" i="5"/>
  <c r="AK72" i="5" s="1"/>
  <c r="AF32" i="5"/>
  <c r="AE32" i="5"/>
  <c r="AD32" i="5"/>
  <c r="AC32" i="5"/>
  <c r="Z32" i="5"/>
  <c r="Y32" i="5"/>
  <c r="X32" i="5"/>
  <c r="W32" i="5"/>
  <c r="T32" i="5"/>
  <c r="S32" i="5"/>
  <c r="U72" i="5" s="1"/>
  <c r="R32" i="5"/>
  <c r="Q32" i="5"/>
  <c r="P32" i="5"/>
  <c r="O32" i="5"/>
  <c r="L32" i="5"/>
  <c r="K32" i="5"/>
  <c r="M72" i="5" s="1"/>
  <c r="J32" i="5"/>
  <c r="I32" i="5"/>
  <c r="F32" i="5"/>
  <c r="E32" i="5"/>
  <c r="E72" i="5" s="1"/>
  <c r="D32" i="5"/>
  <c r="C32" i="5"/>
  <c r="AR30" i="5" a="1"/>
  <c r="AR30" i="5"/>
  <c r="AQ30" i="5" a="1"/>
  <c r="AQ30" i="5" s="1"/>
  <c r="AN30" i="5"/>
  <c r="AM30" i="5"/>
  <c r="AL30" i="5" a="1"/>
  <c r="AL30" i="5" s="1"/>
  <c r="AK30" i="5" a="1"/>
  <c r="AK30" i="5" s="1"/>
  <c r="AH30" i="5"/>
  <c r="AG30" i="5"/>
  <c r="AF30" i="5"/>
  <c r="AE30" i="5"/>
  <c r="AD30" i="5" a="1"/>
  <c r="AD30" i="5" s="1"/>
  <c r="AC30" i="5" a="1"/>
  <c r="AC30" i="5" s="1"/>
  <c r="Z30" i="5"/>
  <c r="Y30" i="5"/>
  <c r="X30" i="5" a="1"/>
  <c r="X30" i="5" s="1"/>
  <c r="W30" i="5" a="1"/>
  <c r="W30" i="5" s="1"/>
  <c r="T30" i="5"/>
  <c r="S30" i="5"/>
  <c r="R30" i="5"/>
  <c r="Q30" i="5"/>
  <c r="P30" i="5" a="1"/>
  <c r="P30" i="5" s="1"/>
  <c r="O30" i="5" a="1"/>
  <c r="O30" i="5" s="1"/>
  <c r="L30" i="5"/>
  <c r="K30" i="5"/>
  <c r="J30" i="5" a="1"/>
  <c r="J30" i="5" s="1"/>
  <c r="I30" i="5" a="1"/>
  <c r="I30" i="5" s="1"/>
  <c r="F30" i="5"/>
  <c r="E30" i="5"/>
  <c r="D30" i="5"/>
  <c r="C30" i="5"/>
  <c r="AP29" i="5"/>
  <c r="AO29" i="5"/>
  <c r="AJ29" i="5"/>
  <c r="AI29" i="5"/>
  <c r="AB29" i="5"/>
  <c r="AA29" i="5"/>
  <c r="V29" i="5"/>
  <c r="U29" i="5"/>
  <c r="N29" i="5"/>
  <c r="M29" i="5"/>
  <c r="H29" i="5"/>
  <c r="G29" i="5"/>
  <c r="AP28" i="5"/>
  <c r="AO28" i="5"/>
  <c r="AJ28" i="5"/>
  <c r="AI28" i="5"/>
  <c r="AB28" i="5"/>
  <c r="AA28" i="5"/>
  <c r="V28" i="5"/>
  <c r="U28" i="5"/>
  <c r="N28" i="5"/>
  <c r="M28" i="5"/>
  <c r="H28" i="5"/>
  <c r="G28" i="5"/>
  <c r="AP27" i="5"/>
  <c r="AO27" i="5"/>
  <c r="AJ27" i="5"/>
  <c r="AI27" i="5"/>
  <c r="AB27" i="5"/>
  <c r="AA27" i="5"/>
  <c r="V27" i="5"/>
  <c r="U27" i="5"/>
  <c r="N27" i="5"/>
  <c r="M27" i="5"/>
  <c r="H27" i="5"/>
  <c r="G27" i="5"/>
  <c r="AP26" i="5"/>
  <c r="AO26" i="5"/>
  <c r="AJ26" i="5"/>
  <c r="AI26" i="5"/>
  <c r="AB26" i="5"/>
  <c r="AA26" i="5"/>
  <c r="V26" i="5"/>
  <c r="U26" i="5"/>
  <c r="N26" i="5"/>
  <c r="M26" i="5"/>
  <c r="H26" i="5"/>
  <c r="G26" i="5"/>
  <c r="AP25" i="5"/>
  <c r="AO25" i="5"/>
  <c r="AJ25" i="5"/>
  <c r="AI25" i="5"/>
  <c r="AB25" i="5"/>
  <c r="AA25" i="5"/>
  <c r="V25" i="5"/>
  <c r="U25" i="5"/>
  <c r="N25" i="5"/>
  <c r="M25" i="5"/>
  <c r="H25" i="5"/>
  <c r="G25" i="5"/>
  <c r="AP24" i="5"/>
  <c r="AO24" i="5"/>
  <c r="AJ24" i="5"/>
  <c r="AI24" i="5"/>
  <c r="AB24" i="5"/>
  <c r="AA24" i="5"/>
  <c r="V24" i="5"/>
  <c r="U24" i="5"/>
  <c r="N24" i="5"/>
  <c r="M24" i="5"/>
  <c r="H24" i="5"/>
  <c r="G24" i="5"/>
  <c r="AP23" i="5"/>
  <c r="AO23" i="5"/>
  <c r="AJ23" i="5"/>
  <c r="AI23" i="5"/>
  <c r="AB23" i="5"/>
  <c r="AA23" i="5"/>
  <c r="V23" i="5"/>
  <c r="U23" i="5"/>
  <c r="N23" i="5"/>
  <c r="M23" i="5"/>
  <c r="H23" i="5"/>
  <c r="G23" i="5"/>
  <c r="AR22" i="5" a="1"/>
  <c r="AR22" i="5" s="1"/>
  <c r="AQ22" i="5" a="1"/>
  <c r="AQ22" i="5" s="1"/>
  <c r="AN22" i="5"/>
  <c r="AM22" i="5"/>
  <c r="AL22" i="5" a="1"/>
  <c r="AL22" i="5" s="1"/>
  <c r="AM62" i="5" s="1"/>
  <c r="AK22" i="5" a="1"/>
  <c r="AK22" i="5" s="1"/>
  <c r="AH22" i="5"/>
  <c r="AG22" i="5"/>
  <c r="AF22" i="5"/>
  <c r="AE22" i="5"/>
  <c r="AD22" i="5" a="1"/>
  <c r="AD22" i="5" s="1"/>
  <c r="AC22" i="5" a="1"/>
  <c r="AC22" i="5" s="1"/>
  <c r="Z22" i="5"/>
  <c r="Y22" i="5"/>
  <c r="X22" i="5" a="1"/>
  <c r="X22" i="5" s="1"/>
  <c r="W22" i="5" a="1"/>
  <c r="W22" i="5" s="1"/>
  <c r="T22" i="5"/>
  <c r="S22" i="5"/>
  <c r="R22" i="5"/>
  <c r="Q22" i="5"/>
  <c r="P22" i="5" a="1"/>
  <c r="P22" i="5" s="1"/>
  <c r="O22" i="5" a="1"/>
  <c r="O22" i="5" s="1"/>
  <c r="L22" i="5"/>
  <c r="K22" i="5"/>
  <c r="J22" i="5" a="1"/>
  <c r="J22" i="5" s="1"/>
  <c r="I22" i="5" a="1"/>
  <c r="I22" i="5" s="1"/>
  <c r="F22" i="5"/>
  <c r="E22" i="5"/>
  <c r="D22" i="5"/>
  <c r="C22" i="5"/>
  <c r="AP21" i="5"/>
  <c r="AO21" i="5"/>
  <c r="AJ21" i="5"/>
  <c r="AI21" i="5"/>
  <c r="AB21" i="5"/>
  <c r="AA21" i="5"/>
  <c r="V21" i="5"/>
  <c r="U21" i="5"/>
  <c r="N21" i="5"/>
  <c r="M21" i="5"/>
  <c r="H21" i="5"/>
  <c r="G21" i="5"/>
  <c r="AP20" i="5"/>
  <c r="AO20" i="5"/>
  <c r="AJ20" i="5"/>
  <c r="AI20" i="5"/>
  <c r="AB20" i="5"/>
  <c r="AA20" i="5"/>
  <c r="V20" i="5"/>
  <c r="U20" i="5"/>
  <c r="N20" i="5"/>
  <c r="M20" i="5"/>
  <c r="H20" i="5"/>
  <c r="G20" i="5"/>
  <c r="AP19" i="5"/>
  <c r="AO19" i="5"/>
  <c r="AJ19" i="5"/>
  <c r="AI19" i="5"/>
  <c r="AB19" i="5"/>
  <c r="AA19" i="5"/>
  <c r="V19" i="5"/>
  <c r="U19" i="5"/>
  <c r="N19" i="5"/>
  <c r="M19" i="5"/>
  <c r="H19" i="5"/>
  <c r="G19" i="5"/>
  <c r="AP18" i="5"/>
  <c r="AO18" i="5"/>
  <c r="AJ18" i="5"/>
  <c r="AI18" i="5"/>
  <c r="AB18" i="5"/>
  <c r="AA18" i="5"/>
  <c r="V18" i="5"/>
  <c r="U18" i="5"/>
  <c r="N18" i="5"/>
  <c r="M18" i="5"/>
  <c r="H18" i="5"/>
  <c r="G18" i="5"/>
  <c r="AP17" i="5"/>
  <c r="AO17" i="5"/>
  <c r="AJ17" i="5"/>
  <c r="AI17" i="5"/>
  <c r="AB17" i="5"/>
  <c r="AA17" i="5"/>
  <c r="V17" i="5"/>
  <c r="U17" i="5"/>
  <c r="N17" i="5"/>
  <c r="M17" i="5"/>
  <c r="H17" i="5"/>
  <c r="G17" i="5"/>
  <c r="AP16" i="5"/>
  <c r="AO16" i="5"/>
  <c r="AJ16" i="5"/>
  <c r="AI16" i="5"/>
  <c r="AB16" i="5"/>
  <c r="AA16" i="5"/>
  <c r="V16" i="5"/>
  <c r="U16" i="5"/>
  <c r="N16" i="5"/>
  <c r="M16" i="5"/>
  <c r="H16" i="5"/>
  <c r="G16" i="5"/>
  <c r="AP15" i="5"/>
  <c r="AO15" i="5"/>
  <c r="AJ15" i="5"/>
  <c r="AI15" i="5"/>
  <c r="AB15" i="5"/>
  <c r="AA15" i="5"/>
  <c r="V15" i="5"/>
  <c r="U15" i="5"/>
  <c r="N15" i="5"/>
  <c r="M15" i="5"/>
  <c r="H15" i="5"/>
  <c r="G15" i="5"/>
  <c r="AR14" i="5" a="1"/>
  <c r="AR14" i="5" s="1"/>
  <c r="AQ14" i="5" a="1"/>
  <c r="AQ14" i="5" s="1"/>
  <c r="AN14" i="5"/>
  <c r="AM14" i="5"/>
  <c r="AL14" i="5" a="1"/>
  <c r="AL14" i="5" s="1"/>
  <c r="AM54" i="5" s="1"/>
  <c r="AK14" i="5" a="1"/>
  <c r="AK14" i="5" s="1"/>
  <c r="AH14" i="5"/>
  <c r="AG14" i="5"/>
  <c r="AF14" i="5"/>
  <c r="AE14" i="5"/>
  <c r="AD14" i="5" a="1"/>
  <c r="AD14" i="5" s="1"/>
  <c r="AC14" i="5" a="1"/>
  <c r="AC14" i="5" s="1"/>
  <c r="Z14" i="5"/>
  <c r="Y14" i="5"/>
  <c r="X14" i="5" a="1"/>
  <c r="X14" i="5" s="1"/>
  <c r="W14" i="5" a="1"/>
  <c r="W14" i="5" s="1"/>
  <c r="T14" i="5"/>
  <c r="S14" i="5"/>
  <c r="R14" i="5"/>
  <c r="Q14" i="5"/>
  <c r="P14" i="5" a="1"/>
  <c r="P14" i="5" s="1"/>
  <c r="O14" i="5" a="1"/>
  <c r="O14" i="5" s="1"/>
  <c r="L14" i="5"/>
  <c r="K14" i="5"/>
  <c r="J14" i="5" a="1"/>
  <c r="J14" i="5" s="1"/>
  <c r="I14" i="5" a="1"/>
  <c r="I14" i="5" s="1"/>
  <c r="F14" i="5"/>
  <c r="E14" i="5"/>
  <c r="D14" i="5"/>
  <c r="C14" i="5"/>
  <c r="AP13" i="5"/>
  <c r="AO13" i="5"/>
  <c r="AJ13" i="5"/>
  <c r="AI13" i="5"/>
  <c r="AB13" i="5"/>
  <c r="AA13" i="5"/>
  <c r="V13" i="5"/>
  <c r="U13" i="5"/>
  <c r="N13" i="5"/>
  <c r="M13" i="5"/>
  <c r="H13" i="5"/>
  <c r="G13" i="5"/>
  <c r="AP12" i="5"/>
  <c r="AO12" i="5"/>
  <c r="AJ12" i="5"/>
  <c r="AI12" i="5"/>
  <c r="AB12" i="5"/>
  <c r="AA12" i="5"/>
  <c r="V12" i="5"/>
  <c r="U12" i="5"/>
  <c r="N12" i="5"/>
  <c r="M12" i="5"/>
  <c r="H12" i="5"/>
  <c r="G12" i="5"/>
  <c r="AP11" i="5"/>
  <c r="AO11" i="5"/>
  <c r="AJ11" i="5"/>
  <c r="AI11" i="5"/>
  <c r="AB11" i="5"/>
  <c r="AA11" i="5"/>
  <c r="V11" i="5"/>
  <c r="U11" i="5"/>
  <c r="N11" i="5"/>
  <c r="M11" i="5"/>
  <c r="H11" i="5"/>
  <c r="G11" i="5"/>
  <c r="AP10" i="5"/>
  <c r="AO10" i="5"/>
  <c r="AJ10" i="5"/>
  <c r="AI10" i="5"/>
  <c r="AB10" i="5"/>
  <c r="AA10" i="5"/>
  <c r="V10" i="5"/>
  <c r="U10" i="5"/>
  <c r="N10" i="5"/>
  <c r="M10" i="5"/>
  <c r="H10" i="5"/>
  <c r="G10" i="5"/>
  <c r="AP9" i="5"/>
  <c r="AO9" i="5"/>
  <c r="AJ9" i="5"/>
  <c r="AI9" i="5"/>
  <c r="AB9" i="5"/>
  <c r="AA9" i="5"/>
  <c r="V9" i="5"/>
  <c r="U9" i="5"/>
  <c r="N9" i="5"/>
  <c r="M9" i="5"/>
  <c r="H9" i="5"/>
  <c r="G9" i="5"/>
  <c r="AP8" i="5"/>
  <c r="AO8" i="5"/>
  <c r="AJ8" i="5"/>
  <c r="AI8" i="5"/>
  <c r="AB8" i="5"/>
  <c r="AA8" i="5"/>
  <c r="V8" i="5"/>
  <c r="U8" i="5"/>
  <c r="N8" i="5"/>
  <c r="M8" i="5"/>
  <c r="H8" i="5"/>
  <c r="G8" i="5"/>
  <c r="AP7" i="5"/>
  <c r="AO7" i="5"/>
  <c r="AJ7" i="5"/>
  <c r="AI7" i="5"/>
  <c r="AB7" i="5"/>
  <c r="AA7" i="5"/>
  <c r="V7" i="5"/>
  <c r="U7" i="5"/>
  <c r="N7" i="5"/>
  <c r="H7" i="5"/>
  <c r="G7" i="5"/>
  <c r="C47" i="4"/>
  <c r="Q47" i="4"/>
  <c r="R47" i="4"/>
  <c r="S47" i="4"/>
  <c r="T47" i="4"/>
  <c r="U47" i="4" s="1"/>
  <c r="V47" i="4"/>
  <c r="W47" i="4" s="1"/>
  <c r="Y47" i="4"/>
  <c r="F8" i="8" s="1"/>
  <c r="N8" i="8" s="1"/>
  <c r="AA47" i="4"/>
  <c r="AB47" i="4"/>
  <c r="AC47" i="4" s="1"/>
  <c r="AD47" i="4"/>
  <c r="AE47" i="4" s="1"/>
  <c r="AG47" i="4"/>
  <c r="AI47" i="4"/>
  <c r="AJ47" i="4"/>
  <c r="AL47" i="4"/>
  <c r="AM47" i="4" s="1"/>
  <c r="AO47" i="4"/>
  <c r="G8" i="8" s="1"/>
  <c r="O8" i="8" s="1"/>
  <c r="AQ47" i="4"/>
  <c r="AR47" i="4"/>
  <c r="AT47" i="4"/>
  <c r="AU47" i="4" s="1"/>
  <c r="C48" i="4"/>
  <c r="Q48" i="4"/>
  <c r="S48" i="4"/>
  <c r="T48" i="4"/>
  <c r="U48" i="4" s="1"/>
  <c r="X48" i="4" s="1"/>
  <c r="V48" i="4"/>
  <c r="W48" i="4" s="1"/>
  <c r="Y48" i="4"/>
  <c r="F9" i="8" s="1"/>
  <c r="AA48" i="4"/>
  <c r="AB48" i="4"/>
  <c r="AC48" i="4" s="1"/>
  <c r="AF48" i="4" s="1"/>
  <c r="AD48" i="4"/>
  <c r="AE48" i="4" s="1"/>
  <c r="AG48" i="4"/>
  <c r="AI48" i="4"/>
  <c r="AJ48" i="4"/>
  <c r="AL48" i="4"/>
  <c r="AM48" i="4" s="1"/>
  <c r="AO48" i="4"/>
  <c r="G9" i="8" s="1"/>
  <c r="AQ48" i="4"/>
  <c r="AR48" i="4"/>
  <c r="AT48" i="4"/>
  <c r="AU48" i="4" s="1"/>
  <c r="C49" i="4"/>
  <c r="Q49" i="4"/>
  <c r="S49" i="4"/>
  <c r="T49" i="4"/>
  <c r="U49" i="4" s="1"/>
  <c r="V49" i="4"/>
  <c r="W49" i="4" s="1"/>
  <c r="Y49" i="4"/>
  <c r="F10" i="8" s="1"/>
  <c r="AA49" i="4"/>
  <c r="AB49" i="4"/>
  <c r="AD49" i="4"/>
  <c r="AE49" i="4" s="1"/>
  <c r="AG49" i="4"/>
  <c r="AI49" i="4"/>
  <c r="AJ49" i="4"/>
  <c r="AL49" i="4"/>
  <c r="AM49" i="4" s="1"/>
  <c r="AO49" i="4"/>
  <c r="G10" i="8" s="1"/>
  <c r="AQ49" i="4"/>
  <c r="AR49" i="4"/>
  <c r="AT49" i="4"/>
  <c r="AU49" i="4" s="1"/>
  <c r="C50" i="4"/>
  <c r="E11" i="8" s="1"/>
  <c r="Q50" i="4"/>
  <c r="R50" i="4"/>
  <c r="S50" i="4"/>
  <c r="T50" i="4"/>
  <c r="U50" i="4" s="1"/>
  <c r="V50" i="4"/>
  <c r="W50" i="4" s="1"/>
  <c r="Y50" i="4"/>
  <c r="F11" i="8" s="1"/>
  <c r="AA50" i="4"/>
  <c r="AB50" i="4"/>
  <c r="AC50" i="4" s="1"/>
  <c r="AD50" i="4"/>
  <c r="AE50" i="4" s="1"/>
  <c r="AG50" i="4"/>
  <c r="AI50" i="4"/>
  <c r="AJ50" i="4"/>
  <c r="AL50" i="4"/>
  <c r="AM50" i="4" s="1"/>
  <c r="AO50" i="4"/>
  <c r="G11" i="8" s="1"/>
  <c r="AQ50" i="4"/>
  <c r="AR50" i="4"/>
  <c r="AT50" i="4"/>
  <c r="AU50" i="4" s="1"/>
  <c r="C51" i="4"/>
  <c r="E12" i="8" s="1"/>
  <c r="Q51" i="4"/>
  <c r="S51" i="4"/>
  <c r="T51" i="4"/>
  <c r="U51" i="4" s="1"/>
  <c r="V51" i="4"/>
  <c r="W51" i="4" s="1"/>
  <c r="Y51" i="4"/>
  <c r="F12" i="8" s="1"/>
  <c r="AA51" i="4"/>
  <c r="AB51" i="4"/>
  <c r="AC51" i="4" s="1"/>
  <c r="AD51" i="4"/>
  <c r="AE51" i="4" s="1"/>
  <c r="AG51" i="4"/>
  <c r="AI51" i="4"/>
  <c r="AJ51" i="4"/>
  <c r="AL51" i="4"/>
  <c r="AM51" i="4" s="1"/>
  <c r="AO51" i="4"/>
  <c r="G12" i="8" s="1"/>
  <c r="AQ51" i="4"/>
  <c r="AR51" i="4"/>
  <c r="AT51" i="4"/>
  <c r="AU51" i="4" s="1"/>
  <c r="C52" i="4"/>
  <c r="Q52" i="4"/>
  <c r="S52" i="4"/>
  <c r="T52" i="4"/>
  <c r="U52" i="4" s="1"/>
  <c r="V52" i="4"/>
  <c r="W52" i="4" s="1"/>
  <c r="Y52" i="4"/>
  <c r="F13" i="8" s="1"/>
  <c r="AA52" i="4"/>
  <c r="AB52" i="4"/>
  <c r="AC52" i="4" s="1"/>
  <c r="AF52" i="4" s="1"/>
  <c r="AD52" i="4"/>
  <c r="AE52" i="4" s="1"/>
  <c r="AG52" i="4"/>
  <c r="AI52" i="4"/>
  <c r="AJ52" i="4"/>
  <c r="AL52" i="4"/>
  <c r="AM52" i="4" s="1"/>
  <c r="AO52" i="4"/>
  <c r="G13" i="8" s="1"/>
  <c r="AQ52" i="4"/>
  <c r="AR52" i="4"/>
  <c r="AT52" i="4"/>
  <c r="AU52" i="4" s="1"/>
  <c r="C53" i="4"/>
  <c r="Q53" i="4"/>
  <c r="R53" i="4"/>
  <c r="S53" i="4"/>
  <c r="T53" i="4"/>
  <c r="U53" i="4" s="1"/>
  <c r="X53" i="4" s="1"/>
  <c r="V53" i="4"/>
  <c r="W53" i="4"/>
  <c r="Y53" i="4"/>
  <c r="F14" i="8" s="1"/>
  <c r="AA53" i="4"/>
  <c r="AB53" i="4"/>
  <c r="AC53" i="4" s="1"/>
  <c r="AD53" i="4"/>
  <c r="AE53" i="4" s="1"/>
  <c r="AG53" i="4"/>
  <c r="AI53" i="4"/>
  <c r="AJ53" i="4"/>
  <c r="AL53" i="4"/>
  <c r="AM53" i="4" s="1"/>
  <c r="AO53" i="4"/>
  <c r="G14" i="8" s="1"/>
  <c r="AQ53" i="4"/>
  <c r="AR53" i="4"/>
  <c r="AT53" i="4"/>
  <c r="AU53" i="4" s="1"/>
  <c r="C55" i="4"/>
  <c r="Q55" i="4"/>
  <c r="R55" i="4"/>
  <c r="S55" i="4"/>
  <c r="T55" i="4"/>
  <c r="U55" i="4" s="1"/>
  <c r="V55" i="4"/>
  <c r="W55" i="4" s="1"/>
  <c r="Y55" i="4"/>
  <c r="F16" i="8" s="1"/>
  <c r="AA55" i="4"/>
  <c r="AB55" i="4"/>
  <c r="AC55" i="4" s="1"/>
  <c r="AD55" i="4"/>
  <c r="AE55" i="4" s="1"/>
  <c r="AG55" i="4"/>
  <c r="AI55" i="4"/>
  <c r="AJ55" i="4"/>
  <c r="AL55" i="4"/>
  <c r="AM55" i="4" s="1"/>
  <c r="AO55" i="4"/>
  <c r="G16" i="8" s="1"/>
  <c r="AQ55" i="4"/>
  <c r="AR55" i="4"/>
  <c r="AT55" i="4"/>
  <c r="AU55" i="4" s="1"/>
  <c r="C56" i="4"/>
  <c r="Q56" i="4"/>
  <c r="S56" i="4"/>
  <c r="T56" i="4"/>
  <c r="V56" i="4"/>
  <c r="W56" i="4" s="1"/>
  <c r="Y56" i="4"/>
  <c r="F17" i="8" s="1"/>
  <c r="AA56" i="4"/>
  <c r="AB56" i="4"/>
  <c r="AD56" i="4"/>
  <c r="AE56" i="4" s="1"/>
  <c r="AG56" i="4"/>
  <c r="AI56" i="4"/>
  <c r="AJ56" i="4"/>
  <c r="AL56" i="4"/>
  <c r="AM56" i="4" s="1"/>
  <c r="AO56" i="4"/>
  <c r="G17" i="8" s="1"/>
  <c r="AQ56" i="4"/>
  <c r="AR56" i="4"/>
  <c r="AT56" i="4"/>
  <c r="AU56" i="4" s="1"/>
  <c r="C57" i="4"/>
  <c r="Q57" i="4"/>
  <c r="S57" i="4"/>
  <c r="T57" i="4"/>
  <c r="U57" i="4" s="1"/>
  <c r="V57" i="4"/>
  <c r="W57" i="4" s="1"/>
  <c r="Y57" i="4"/>
  <c r="F18" i="8" s="1"/>
  <c r="AA57" i="4"/>
  <c r="AB57" i="4"/>
  <c r="AC57" i="4" s="1"/>
  <c r="AD57" i="4"/>
  <c r="AE57" i="4" s="1"/>
  <c r="AG57" i="4"/>
  <c r="AI57" i="4"/>
  <c r="AJ57" i="4"/>
  <c r="AL57" i="4"/>
  <c r="AM57" i="4" s="1"/>
  <c r="AO57" i="4"/>
  <c r="G18" i="8" s="1"/>
  <c r="AQ57" i="4"/>
  <c r="AR57" i="4"/>
  <c r="AT57" i="4"/>
  <c r="AU57" i="4" s="1"/>
  <c r="C58" i="4"/>
  <c r="Q58" i="4"/>
  <c r="S58" i="4"/>
  <c r="T58" i="4"/>
  <c r="U58" i="4" s="1"/>
  <c r="V58" i="4"/>
  <c r="W58" i="4" s="1"/>
  <c r="Y58" i="4"/>
  <c r="F19" i="8" s="1"/>
  <c r="AA58" i="4"/>
  <c r="AB58" i="4"/>
  <c r="AC58" i="4" s="1"/>
  <c r="AD58" i="4"/>
  <c r="AE58" i="4" s="1"/>
  <c r="AG58" i="4"/>
  <c r="AI58" i="4"/>
  <c r="AJ58" i="4"/>
  <c r="AL58" i="4"/>
  <c r="AM58" i="4" s="1"/>
  <c r="AO58" i="4"/>
  <c r="G19" i="8" s="1"/>
  <c r="AQ58" i="4"/>
  <c r="AR58" i="4"/>
  <c r="AT58" i="4"/>
  <c r="AU58" i="4" s="1"/>
  <c r="C59" i="4"/>
  <c r="Q59" i="4"/>
  <c r="S59" i="4"/>
  <c r="T59" i="4"/>
  <c r="V59" i="4"/>
  <c r="W59" i="4" s="1"/>
  <c r="Y59" i="4"/>
  <c r="F20" i="8" s="1"/>
  <c r="AA59" i="4"/>
  <c r="AB59" i="4"/>
  <c r="AD59" i="4"/>
  <c r="AE59" i="4" s="1"/>
  <c r="AG59" i="4"/>
  <c r="AI59" i="4"/>
  <c r="AJ59" i="4"/>
  <c r="AL59" i="4"/>
  <c r="AM59" i="4" s="1"/>
  <c r="AO59" i="4"/>
  <c r="G20" i="8" s="1"/>
  <c r="AQ59" i="4"/>
  <c r="AR59" i="4"/>
  <c r="AT59" i="4"/>
  <c r="AU59" i="4" s="1"/>
  <c r="C60" i="4"/>
  <c r="Q60" i="4"/>
  <c r="S60" i="4"/>
  <c r="T60" i="4"/>
  <c r="V60" i="4"/>
  <c r="W60" i="4" s="1"/>
  <c r="Y60" i="4"/>
  <c r="F21" i="8" s="1"/>
  <c r="AA60" i="4"/>
  <c r="AB60" i="4"/>
  <c r="AD60" i="4"/>
  <c r="AE60" i="4" s="1"/>
  <c r="AG60" i="4"/>
  <c r="AI60" i="4"/>
  <c r="AJ60" i="4"/>
  <c r="AL60" i="4"/>
  <c r="AM60" i="4" s="1"/>
  <c r="AO60" i="4"/>
  <c r="G21" i="8" s="1"/>
  <c r="AQ60" i="4"/>
  <c r="AR60" i="4"/>
  <c r="AT60" i="4"/>
  <c r="AU60" i="4" s="1"/>
  <c r="C61" i="4"/>
  <c r="Q61" i="4"/>
  <c r="R61" i="4"/>
  <c r="S61" i="4"/>
  <c r="T61" i="4"/>
  <c r="U61" i="4" s="1"/>
  <c r="V61" i="4"/>
  <c r="W61" i="4" s="1"/>
  <c r="Y61" i="4"/>
  <c r="F22" i="8" s="1"/>
  <c r="AA61" i="4"/>
  <c r="AB61" i="4"/>
  <c r="AC61" i="4" s="1"/>
  <c r="AD61" i="4"/>
  <c r="AE61" i="4" s="1"/>
  <c r="AG61" i="4"/>
  <c r="AI61" i="4"/>
  <c r="AJ61" i="4"/>
  <c r="AL61" i="4"/>
  <c r="AM61" i="4" s="1"/>
  <c r="AO61" i="4"/>
  <c r="G22" i="8" s="1"/>
  <c r="AQ61" i="4"/>
  <c r="AR61" i="4"/>
  <c r="AT61" i="4"/>
  <c r="AU61" i="4" s="1"/>
  <c r="C63" i="4"/>
  <c r="E24" i="8" s="1"/>
  <c r="Q63" i="4"/>
  <c r="S63" i="4"/>
  <c r="T63" i="4"/>
  <c r="V63" i="4"/>
  <c r="W63" i="4" s="1"/>
  <c r="Y63" i="4"/>
  <c r="F24" i="8" s="1"/>
  <c r="AA63" i="4"/>
  <c r="AB63" i="4"/>
  <c r="AD63" i="4"/>
  <c r="AE63" i="4" s="1"/>
  <c r="AG63" i="4"/>
  <c r="AH63" i="4"/>
  <c r="AK63" i="4" s="1"/>
  <c r="AI63" i="4"/>
  <c r="AJ63" i="4"/>
  <c r="AL63" i="4"/>
  <c r="AM63" i="4" s="1"/>
  <c r="AO63" i="4"/>
  <c r="G24" i="8" s="1"/>
  <c r="AQ63" i="4"/>
  <c r="AR63" i="4"/>
  <c r="AT63" i="4"/>
  <c r="AU63" i="4" s="1"/>
  <c r="C64" i="4"/>
  <c r="Q64" i="4"/>
  <c r="S64" i="4"/>
  <c r="T64" i="4"/>
  <c r="U64" i="4" s="1"/>
  <c r="V64" i="4"/>
  <c r="W64" i="4" s="1"/>
  <c r="Y64" i="4"/>
  <c r="F25" i="8" s="1"/>
  <c r="AA64" i="4"/>
  <c r="AB64" i="4"/>
  <c r="AC64" i="4" s="1"/>
  <c r="AD64" i="4"/>
  <c r="AE64" i="4" s="1"/>
  <c r="AG64" i="4"/>
  <c r="AI64" i="4"/>
  <c r="AJ64" i="4"/>
  <c r="AL64" i="4"/>
  <c r="AM64" i="4" s="1"/>
  <c r="AO64" i="4"/>
  <c r="G25" i="8" s="1"/>
  <c r="AQ64" i="4"/>
  <c r="AR64" i="4"/>
  <c r="AT64" i="4"/>
  <c r="AU64" i="4" s="1"/>
  <c r="C65" i="4"/>
  <c r="Q65" i="4"/>
  <c r="R65" i="4"/>
  <c r="S65" i="4"/>
  <c r="T65" i="4"/>
  <c r="U65" i="4" s="1"/>
  <c r="X65" i="4" s="1"/>
  <c r="V65" i="4"/>
  <c r="W65" i="4" s="1"/>
  <c r="Y65" i="4"/>
  <c r="F26" i="8" s="1"/>
  <c r="AA65" i="4"/>
  <c r="AB65" i="4"/>
  <c r="AC65" i="4" s="1"/>
  <c r="AF65" i="4" s="1"/>
  <c r="AD65" i="4"/>
  <c r="AE65" i="4" s="1"/>
  <c r="AG65" i="4"/>
  <c r="AI65" i="4"/>
  <c r="AJ65" i="4"/>
  <c r="AL65" i="4"/>
  <c r="AM65" i="4" s="1"/>
  <c r="AO65" i="4"/>
  <c r="G26" i="8" s="1"/>
  <c r="AQ65" i="4"/>
  <c r="AR65" i="4"/>
  <c r="AT65" i="4"/>
  <c r="AU65" i="4" s="1"/>
  <c r="C66" i="4"/>
  <c r="E27" i="8" s="1"/>
  <c r="Q66" i="4"/>
  <c r="R66" i="4"/>
  <c r="S66" i="4"/>
  <c r="T66" i="4"/>
  <c r="U66" i="4" s="1"/>
  <c r="V66" i="4"/>
  <c r="Y66" i="4"/>
  <c r="F27" i="8" s="1"/>
  <c r="AA66" i="4"/>
  <c r="AB66" i="4"/>
  <c r="AC66" i="4" s="1"/>
  <c r="AF66" i="4" s="1"/>
  <c r="AD66" i="4"/>
  <c r="AE66" i="4" s="1"/>
  <c r="AG66" i="4"/>
  <c r="AI66" i="4"/>
  <c r="AJ66" i="4"/>
  <c r="AL66" i="4"/>
  <c r="AM66" i="4" s="1"/>
  <c r="AO66" i="4"/>
  <c r="G27" i="8" s="1"/>
  <c r="AQ66" i="4"/>
  <c r="AR66" i="4"/>
  <c r="AT66" i="4"/>
  <c r="AU66" i="4" s="1"/>
  <c r="C67" i="4"/>
  <c r="E28" i="8" s="1"/>
  <c r="Q67" i="4"/>
  <c r="S67" i="4"/>
  <c r="T67" i="4"/>
  <c r="V67" i="4"/>
  <c r="W67" i="4" s="1"/>
  <c r="Y67" i="4"/>
  <c r="F28" i="8" s="1"/>
  <c r="AA67" i="4"/>
  <c r="AB67" i="4"/>
  <c r="AD67" i="4"/>
  <c r="AE67" i="4" s="1"/>
  <c r="AG67" i="4"/>
  <c r="AI67" i="4"/>
  <c r="AJ67" i="4"/>
  <c r="AL67" i="4"/>
  <c r="AM67" i="4" s="1"/>
  <c r="AO67" i="4"/>
  <c r="G28" i="8" s="1"/>
  <c r="AQ67" i="4"/>
  <c r="AR67" i="4"/>
  <c r="AT67" i="4"/>
  <c r="AU67" i="4" s="1"/>
  <c r="C68" i="4"/>
  <c r="Q68" i="4"/>
  <c r="S68" i="4"/>
  <c r="T68" i="4"/>
  <c r="V68" i="4"/>
  <c r="W68" i="4" s="1"/>
  <c r="Y68" i="4"/>
  <c r="F29" i="8" s="1"/>
  <c r="AA68" i="4"/>
  <c r="AB68" i="4"/>
  <c r="AD68" i="4"/>
  <c r="AE68" i="4"/>
  <c r="AG68" i="4"/>
  <c r="AI68" i="4"/>
  <c r="AJ68" i="4"/>
  <c r="AL68" i="4"/>
  <c r="AM68" i="4" s="1"/>
  <c r="AO68" i="4"/>
  <c r="G29" i="8" s="1"/>
  <c r="AQ68" i="4"/>
  <c r="AR68" i="4"/>
  <c r="AT68" i="4"/>
  <c r="AU68" i="4" s="1"/>
  <c r="C69" i="4"/>
  <c r="Q69" i="4"/>
  <c r="S69" i="4"/>
  <c r="T69" i="4"/>
  <c r="U69" i="4" s="1"/>
  <c r="V69" i="4"/>
  <c r="W69" i="4" s="1"/>
  <c r="Y69" i="4"/>
  <c r="F30" i="8" s="1"/>
  <c r="AA69" i="4"/>
  <c r="AB69" i="4"/>
  <c r="AD69" i="4"/>
  <c r="AE69" i="4" s="1"/>
  <c r="AG69" i="4"/>
  <c r="AI69" i="4"/>
  <c r="AJ69" i="4"/>
  <c r="AL69" i="4"/>
  <c r="AM69" i="4"/>
  <c r="AO69" i="4"/>
  <c r="G30" i="8" s="1"/>
  <c r="AQ69" i="4"/>
  <c r="AR69" i="4"/>
  <c r="AT69" i="4"/>
  <c r="AU69" i="4" s="1"/>
  <c r="S75" i="4"/>
  <c r="Z75" i="4"/>
  <c r="AA75" i="4"/>
  <c r="AR38" i="4"/>
  <c r="AQ78" i="4" s="1"/>
  <c r="AQ38" i="4"/>
  <c r="AN38" i="4"/>
  <c r="AM38" i="4"/>
  <c r="AL38" i="4"/>
  <c r="AK38" i="4"/>
  <c r="AH38" i="4"/>
  <c r="AG38" i="4"/>
  <c r="AF38" i="4"/>
  <c r="AE38" i="4"/>
  <c r="AC38" i="4"/>
  <c r="Z38" i="4"/>
  <c r="Y38" i="4"/>
  <c r="Y78" i="4" s="1"/>
  <c r="W38" i="4"/>
  <c r="S78" i="4" s="1"/>
  <c r="T38" i="4"/>
  <c r="S38" i="4"/>
  <c r="R38" i="4"/>
  <c r="V78" i="4" s="1"/>
  <c r="W78" i="4" s="1"/>
  <c r="Q38" i="4"/>
  <c r="O38" i="4"/>
  <c r="K38" i="4"/>
  <c r="I38" i="4"/>
  <c r="E38" i="4"/>
  <c r="C38" i="4"/>
  <c r="AR37" i="4"/>
  <c r="AQ37" i="4"/>
  <c r="AQ77" i="4" s="1"/>
  <c r="AN37" i="4"/>
  <c r="AM37" i="4"/>
  <c r="AL37" i="4"/>
  <c r="AK37" i="4"/>
  <c r="AH37" i="4"/>
  <c r="AG37" i="4"/>
  <c r="AF37" i="4"/>
  <c r="AE37" i="4"/>
  <c r="AD37" i="4"/>
  <c r="AC37" i="4"/>
  <c r="Z37" i="4"/>
  <c r="Y37" i="4"/>
  <c r="Y77" i="4" s="1"/>
  <c r="X37" i="4"/>
  <c r="W37" i="4"/>
  <c r="S77" i="4" s="1"/>
  <c r="T37" i="4"/>
  <c r="S37" i="4"/>
  <c r="Q77" i="4" s="1"/>
  <c r="R37" i="4"/>
  <c r="Q37" i="4"/>
  <c r="O37" i="4"/>
  <c r="K37" i="4"/>
  <c r="M37" i="4" s="1"/>
  <c r="I37" i="4"/>
  <c r="E37" i="4"/>
  <c r="G37" i="4" s="1"/>
  <c r="C37" i="4"/>
  <c r="AR36" i="4"/>
  <c r="AQ36" i="4"/>
  <c r="AN36" i="4"/>
  <c r="AM36" i="4"/>
  <c r="AL36" i="4"/>
  <c r="AK36" i="4"/>
  <c r="AH36" i="4"/>
  <c r="AG76" i="4" s="1"/>
  <c r="AG36" i="4"/>
  <c r="AF36" i="4"/>
  <c r="AE36" i="4"/>
  <c r="AC36" i="4"/>
  <c r="AA76" i="4" s="1"/>
  <c r="Z36" i="4"/>
  <c r="Y36" i="4"/>
  <c r="Y76" i="4" s="1"/>
  <c r="W36" i="4"/>
  <c r="T36" i="4"/>
  <c r="Q76" i="4" s="1"/>
  <c r="S36" i="4"/>
  <c r="AB76" i="4" s="1"/>
  <c r="R36" i="4"/>
  <c r="Q36" i="4"/>
  <c r="O36" i="4"/>
  <c r="K36" i="4"/>
  <c r="I36" i="4"/>
  <c r="E36" i="4"/>
  <c r="C36" i="4"/>
  <c r="AR35" i="4"/>
  <c r="AQ35" i="4"/>
  <c r="AN35" i="4"/>
  <c r="AM35" i="4"/>
  <c r="AO75" i="4" s="1"/>
  <c r="AK35" i="4"/>
  <c r="AH35" i="4"/>
  <c r="AG35" i="4"/>
  <c r="AF35" i="4"/>
  <c r="AP35" i="4" s="1"/>
  <c r="AE35" i="4"/>
  <c r="Z35" i="4"/>
  <c r="Y75" i="4" s="1"/>
  <c r="Y35" i="4"/>
  <c r="T35" i="4"/>
  <c r="S35" i="4"/>
  <c r="R35" i="4"/>
  <c r="V75" i="4" s="1"/>
  <c r="W75" i="4" s="1"/>
  <c r="Q35" i="4"/>
  <c r="O35" i="4"/>
  <c r="K35" i="4"/>
  <c r="I35" i="4"/>
  <c r="E35" i="4"/>
  <c r="C35" i="4"/>
  <c r="AR34" i="4"/>
  <c r="AQ34" i="4"/>
  <c r="AN34" i="4"/>
  <c r="AM34" i="4"/>
  <c r="AO74" i="4" s="1"/>
  <c r="AL34" i="4"/>
  <c r="AK34" i="4"/>
  <c r="AH34" i="4"/>
  <c r="AG34" i="4"/>
  <c r="AG74" i="4" s="1"/>
  <c r="AF34" i="4"/>
  <c r="AE34" i="4"/>
  <c r="AD34" i="4"/>
  <c r="AA74" i="4" s="1"/>
  <c r="Z34" i="4"/>
  <c r="Y34" i="4"/>
  <c r="X34" i="4"/>
  <c r="S74" i="4" s="1"/>
  <c r="T34" i="4"/>
  <c r="S34" i="4"/>
  <c r="AD74" i="4" s="1"/>
  <c r="AE74" i="4" s="1"/>
  <c r="R34" i="4"/>
  <c r="Q34" i="4"/>
  <c r="V74" i="4" s="1"/>
  <c r="W74" i="4" s="1"/>
  <c r="O34" i="4"/>
  <c r="K34" i="4"/>
  <c r="M34" i="4" s="1"/>
  <c r="I34" i="4"/>
  <c r="E34" i="4"/>
  <c r="C34" i="4"/>
  <c r="AR33" i="4"/>
  <c r="AQ33" i="4"/>
  <c r="AN33" i="4"/>
  <c r="AM33" i="4"/>
  <c r="AL33" i="4"/>
  <c r="AI73" i="4" s="1"/>
  <c r="AK33" i="4"/>
  <c r="AH33" i="4"/>
  <c r="AG33" i="4"/>
  <c r="AF33" i="4"/>
  <c r="AE33" i="4"/>
  <c r="AC33" i="4"/>
  <c r="Z33" i="4"/>
  <c r="Y33" i="4"/>
  <c r="W33" i="4"/>
  <c r="S73" i="4" s="1"/>
  <c r="T33" i="4"/>
  <c r="S33" i="4"/>
  <c r="R33" i="4"/>
  <c r="Q33" i="4"/>
  <c r="O33" i="4"/>
  <c r="K33" i="4"/>
  <c r="I33" i="4"/>
  <c r="E33" i="4"/>
  <c r="C33" i="4"/>
  <c r="AR32" i="4"/>
  <c r="AQ32" i="4"/>
  <c r="AN32" i="4"/>
  <c r="AM32" i="4"/>
  <c r="AL32" i="4"/>
  <c r="AK32" i="4"/>
  <c r="AI72" i="4" s="1"/>
  <c r="AH32" i="4"/>
  <c r="AG32" i="4"/>
  <c r="AF32" i="4"/>
  <c r="AE32" i="4"/>
  <c r="AC32" i="4"/>
  <c r="Z32" i="4"/>
  <c r="Y32" i="4"/>
  <c r="W32" i="4"/>
  <c r="S72" i="4" s="1"/>
  <c r="T32" i="4"/>
  <c r="S32" i="4"/>
  <c r="R32" i="4"/>
  <c r="Q32" i="4"/>
  <c r="O32" i="4"/>
  <c r="K32" i="4"/>
  <c r="I32" i="4"/>
  <c r="E32" i="4"/>
  <c r="C32" i="4"/>
  <c r="AR30" i="4"/>
  <c r="AQ30" i="4" a="1"/>
  <c r="AQ30" i="4" s="1"/>
  <c r="AN30" i="4"/>
  <c r="AM30" i="4"/>
  <c r="AL30" i="4"/>
  <c r="AK30" i="4" a="1"/>
  <c r="AK30" i="4" s="1"/>
  <c r="AH30" i="4"/>
  <c r="AG70" i="4" s="1"/>
  <c r="AG30" i="4"/>
  <c r="AF30" i="4"/>
  <c r="AE30" i="4"/>
  <c r="AD30" i="4" a="1"/>
  <c r="AD30" i="4" s="1"/>
  <c r="AA70" i="4" s="1"/>
  <c r="AC30" i="4"/>
  <c r="Z30" i="4"/>
  <c r="Y30" i="4"/>
  <c r="W30" i="4"/>
  <c r="S70" i="4" s="1"/>
  <c r="T30" i="4"/>
  <c r="S30" i="4"/>
  <c r="R30" i="4"/>
  <c r="Q30" i="4"/>
  <c r="O30" i="4" a="1"/>
  <c r="O30" i="4" s="1"/>
  <c r="K30" i="4"/>
  <c r="I30" i="4" a="1"/>
  <c r="I30" i="4" s="1"/>
  <c r="E30" i="4"/>
  <c r="C30" i="4"/>
  <c r="AP29" i="4"/>
  <c r="AO29" i="4"/>
  <c r="AJ29" i="4"/>
  <c r="AI29" i="4"/>
  <c r="AB29" i="4"/>
  <c r="AA29" i="4"/>
  <c r="U29" i="4"/>
  <c r="R69" i="4" s="1"/>
  <c r="M29" i="4"/>
  <c r="G29" i="4"/>
  <c r="AP28" i="4"/>
  <c r="AO28" i="4"/>
  <c r="AI28" i="4"/>
  <c r="AH68" i="4" s="1"/>
  <c r="AK68" i="4" s="1"/>
  <c r="AB28" i="4"/>
  <c r="AA28" i="4"/>
  <c r="U28" i="4"/>
  <c r="R68" i="4" s="1"/>
  <c r="M28" i="4"/>
  <c r="G28" i="4"/>
  <c r="AP27" i="4"/>
  <c r="AO27" i="4"/>
  <c r="AJ27" i="4"/>
  <c r="AI27" i="4"/>
  <c r="AH67" i="4" s="1"/>
  <c r="AK67" i="4" s="1"/>
  <c r="AB27" i="4"/>
  <c r="AA27" i="4"/>
  <c r="U27" i="4"/>
  <c r="R67" i="4" s="1"/>
  <c r="M27" i="4"/>
  <c r="G27" i="4"/>
  <c r="AP26" i="4"/>
  <c r="AO26" i="4"/>
  <c r="AI26" i="4"/>
  <c r="AH66" i="4" s="1"/>
  <c r="AK66" i="4" s="1"/>
  <c r="AB26" i="4"/>
  <c r="AA26" i="4"/>
  <c r="M26" i="4"/>
  <c r="G26" i="4"/>
  <c r="AP25" i="4"/>
  <c r="AO25" i="4"/>
  <c r="AI25" i="4"/>
  <c r="AH65" i="4" s="1"/>
  <c r="AK65" i="4" s="1"/>
  <c r="AB25" i="4"/>
  <c r="AA25" i="4"/>
  <c r="M25" i="4"/>
  <c r="G25" i="4"/>
  <c r="AP24" i="4"/>
  <c r="AO24" i="4"/>
  <c r="AJ24" i="4"/>
  <c r="AI24" i="4"/>
  <c r="AB24" i="4"/>
  <c r="AA24" i="4"/>
  <c r="V24" i="4"/>
  <c r="U24" i="4"/>
  <c r="M24" i="4"/>
  <c r="G24" i="4"/>
  <c r="AP23" i="4"/>
  <c r="AO23" i="4"/>
  <c r="AB23" i="4"/>
  <c r="AA23" i="4"/>
  <c r="U23" i="4"/>
  <c r="R63" i="4" s="1"/>
  <c r="M23" i="4"/>
  <c r="G23" i="4"/>
  <c r="AR22" i="4"/>
  <c r="AQ22" i="4" a="1"/>
  <c r="AQ22" i="4" s="1"/>
  <c r="AN22" i="4"/>
  <c r="AM22" i="4"/>
  <c r="AL22" i="4"/>
  <c r="AK22" i="4" a="1"/>
  <c r="AK22" i="4" s="1"/>
  <c r="AH22" i="4"/>
  <c r="AG22" i="4"/>
  <c r="AF22" i="4"/>
  <c r="AE22" i="4"/>
  <c r="AD22" i="4"/>
  <c r="AC22" i="4"/>
  <c r="Z22" i="4"/>
  <c r="Y22" i="4"/>
  <c r="X22" i="4"/>
  <c r="W22" i="4"/>
  <c r="T22" i="4"/>
  <c r="S22" i="4"/>
  <c r="R22" i="4"/>
  <c r="Q22" i="4"/>
  <c r="O22" i="4" a="1"/>
  <c r="O22" i="4" s="1"/>
  <c r="K22" i="4"/>
  <c r="I22" i="4" a="1"/>
  <c r="I22" i="4" s="1"/>
  <c r="E22" i="4"/>
  <c r="C22" i="4"/>
  <c r="AP21" i="4"/>
  <c r="AO21" i="4"/>
  <c r="AJ21" i="4"/>
  <c r="AI21" i="4"/>
  <c r="AB21" i="4"/>
  <c r="AA21" i="4"/>
  <c r="M21" i="4"/>
  <c r="G21" i="4"/>
  <c r="AP20" i="4"/>
  <c r="AO20" i="4"/>
  <c r="AJ20" i="4"/>
  <c r="AI20" i="4"/>
  <c r="AB20" i="4"/>
  <c r="AA20" i="4"/>
  <c r="V20" i="4"/>
  <c r="U20" i="4"/>
  <c r="M20" i="4"/>
  <c r="G20" i="4"/>
  <c r="AP19" i="4"/>
  <c r="AO19" i="4"/>
  <c r="AJ19" i="4"/>
  <c r="AI19" i="4"/>
  <c r="AB19" i="4"/>
  <c r="AA19" i="4"/>
  <c r="V19" i="4"/>
  <c r="U19" i="4"/>
  <c r="M19" i="4"/>
  <c r="G19" i="4"/>
  <c r="AP18" i="4"/>
  <c r="AO18" i="4"/>
  <c r="AI18" i="4"/>
  <c r="AH58" i="4" s="1"/>
  <c r="AK58" i="4" s="1"/>
  <c r="AN58" i="4" s="1"/>
  <c r="AB18" i="4"/>
  <c r="AA18" i="4"/>
  <c r="U18" i="4"/>
  <c r="R58" i="4" s="1"/>
  <c r="M18" i="4"/>
  <c r="G18" i="4"/>
  <c r="AP17" i="4"/>
  <c r="AO17" i="4"/>
  <c r="AJ17" i="4"/>
  <c r="AI17" i="4"/>
  <c r="AB17" i="4"/>
  <c r="AA17" i="4"/>
  <c r="V17" i="4"/>
  <c r="U17" i="4"/>
  <c r="M17" i="4"/>
  <c r="G17" i="4"/>
  <c r="AP16" i="4"/>
  <c r="AO16" i="4"/>
  <c r="AJ16" i="4"/>
  <c r="AI16" i="4"/>
  <c r="AB16" i="4"/>
  <c r="AA16" i="4"/>
  <c r="V16" i="4"/>
  <c r="U16" i="4"/>
  <c r="M16" i="4"/>
  <c r="G16" i="4"/>
  <c r="AP15" i="4"/>
  <c r="AO15" i="4"/>
  <c r="AJ15" i="4"/>
  <c r="AI15" i="4"/>
  <c r="AB15" i="4"/>
  <c r="AA15" i="4"/>
  <c r="M15" i="4"/>
  <c r="G15" i="4"/>
  <c r="AR14" i="4"/>
  <c r="AQ14" i="4" a="1"/>
  <c r="AQ14" i="4"/>
  <c r="AN14" i="4"/>
  <c r="AM14" i="4"/>
  <c r="AO54" i="4" s="1"/>
  <c r="AL14" i="4"/>
  <c r="AK14" i="4" a="1"/>
  <c r="AK14" i="4" s="1"/>
  <c r="AH14" i="4"/>
  <c r="AG14" i="4"/>
  <c r="AF14" i="4"/>
  <c r="AP14" i="4" s="1"/>
  <c r="AE14" i="4"/>
  <c r="AD14" i="4"/>
  <c r="Z14" i="4"/>
  <c r="Y14" i="4"/>
  <c r="X14" i="4"/>
  <c r="T14" i="4"/>
  <c r="S14" i="4"/>
  <c r="R14" i="4"/>
  <c r="Q14" i="4"/>
  <c r="O14" i="4" a="1"/>
  <c r="O14" i="4" s="1"/>
  <c r="K14" i="4"/>
  <c r="I14" i="4" a="1"/>
  <c r="I14" i="4" s="1"/>
  <c r="E14" i="4"/>
  <c r="C14" i="4"/>
  <c r="AP13" i="4"/>
  <c r="AO13" i="4"/>
  <c r="AJ13" i="4"/>
  <c r="AI13" i="4"/>
  <c r="AB13" i="4"/>
  <c r="AA13" i="4"/>
  <c r="M13" i="4"/>
  <c r="G13" i="4"/>
  <c r="AP12" i="4"/>
  <c r="AO12" i="4"/>
  <c r="AJ12" i="4"/>
  <c r="AI12" i="4"/>
  <c r="AB12" i="4"/>
  <c r="AA12" i="4"/>
  <c r="U12" i="4"/>
  <c r="R52" i="4" s="1"/>
  <c r="M12" i="4"/>
  <c r="G12" i="4"/>
  <c r="AO11" i="4"/>
  <c r="AP51" i="4" s="1"/>
  <c r="AS51" i="4" s="1"/>
  <c r="AI11" i="4"/>
  <c r="AH51" i="4" s="1"/>
  <c r="AK51" i="4" s="1"/>
  <c r="AN51" i="4" s="1"/>
  <c r="AB11" i="4"/>
  <c r="AA11" i="4"/>
  <c r="V11" i="4"/>
  <c r="U11" i="4"/>
  <c r="R51" i="4" s="1"/>
  <c r="M11" i="4"/>
  <c r="G11" i="4"/>
  <c r="AO10" i="4"/>
  <c r="AP50" i="4" s="1"/>
  <c r="AS50" i="4" s="1"/>
  <c r="AV50" i="4" s="1"/>
  <c r="AI10" i="4"/>
  <c r="AH50" i="4" s="1"/>
  <c r="AK50" i="4" s="1"/>
  <c r="AN50" i="4" s="1"/>
  <c r="AB10" i="4"/>
  <c r="AA10" i="4"/>
  <c r="M10" i="4"/>
  <c r="G10" i="4"/>
  <c r="AP9" i="4"/>
  <c r="AO9" i="4"/>
  <c r="AJ9" i="4"/>
  <c r="AI9" i="4"/>
  <c r="AB9" i="4"/>
  <c r="AA9" i="4"/>
  <c r="V9" i="4"/>
  <c r="R49" i="4" s="1"/>
  <c r="M9" i="4"/>
  <c r="G9" i="4"/>
  <c r="AP8" i="4"/>
  <c r="AO8" i="4"/>
  <c r="AJ8" i="4"/>
  <c r="AI8" i="4"/>
  <c r="AB8" i="4"/>
  <c r="AA8" i="4"/>
  <c r="V8" i="4"/>
  <c r="U8" i="4"/>
  <c r="M8" i="4"/>
  <c r="G8" i="4"/>
  <c r="AS47" i="4"/>
  <c r="AV47" i="4" s="1"/>
  <c r="AI7" i="4"/>
  <c r="AH47" i="4" s="1"/>
  <c r="AK47" i="4" s="1"/>
  <c r="AB7" i="4"/>
  <c r="AA7" i="4"/>
  <c r="M7" i="4"/>
  <c r="G7" i="4"/>
  <c r="E21" i="8" l="1"/>
  <c r="E19" i="8"/>
  <c r="AE119" i="7"/>
  <c r="H105" i="5"/>
  <c r="H89" i="5"/>
  <c r="H107" i="5"/>
  <c r="H91" i="5"/>
  <c r="H109" i="5"/>
  <c r="H93" i="5"/>
  <c r="J103" i="5"/>
  <c r="K103" i="5" s="1"/>
  <c r="J87" i="5"/>
  <c r="K87" i="5" s="1"/>
  <c r="E10" i="8"/>
  <c r="M10" i="8" s="1"/>
  <c r="AN47" i="4"/>
  <c r="E30" i="8"/>
  <c r="E25" i="8"/>
  <c r="AN63" i="4"/>
  <c r="X58" i="4"/>
  <c r="AF55" i="4"/>
  <c r="E9" i="8"/>
  <c r="E54" i="5"/>
  <c r="M54" i="5"/>
  <c r="AE54" i="5"/>
  <c r="AJ19" i="7"/>
  <c r="AE71" i="7"/>
  <c r="R79" i="7"/>
  <c r="AF79" i="7"/>
  <c r="R111" i="7"/>
  <c r="J105" i="5"/>
  <c r="K105" i="5" s="1"/>
  <c r="J89" i="5"/>
  <c r="K89" i="5" s="1"/>
  <c r="J91" i="5"/>
  <c r="K91" i="5" s="1"/>
  <c r="J107" i="5"/>
  <c r="K107" i="5" s="1"/>
  <c r="J109" i="5"/>
  <c r="K109" i="5" s="1"/>
  <c r="J93" i="5"/>
  <c r="K93" i="5" s="1"/>
  <c r="J96" i="5"/>
  <c r="K96" i="5" s="1"/>
  <c r="J98" i="5"/>
  <c r="K98" i="5" s="1"/>
  <c r="J100" i="5"/>
  <c r="K100" i="5" s="1"/>
  <c r="AF119" i="7"/>
  <c r="H104" i="5"/>
  <c r="H88" i="5"/>
  <c r="H106" i="5"/>
  <c r="H90" i="5"/>
  <c r="H108" i="5"/>
  <c r="H92" i="5"/>
  <c r="H95" i="5"/>
  <c r="H97" i="5"/>
  <c r="H99" i="5"/>
  <c r="H101" i="5"/>
  <c r="E26" i="8"/>
  <c r="M26" i="8" s="1"/>
  <c r="AN67" i="4"/>
  <c r="AP33" i="4"/>
  <c r="AT74" i="4"/>
  <c r="AU74" i="4" s="1"/>
  <c r="V36" i="4"/>
  <c r="AL77" i="4"/>
  <c r="AM77" i="4" s="1"/>
  <c r="E20" i="8"/>
  <c r="E18" i="8"/>
  <c r="E16" i="8"/>
  <c r="E23" i="8" s="1" a="1"/>
  <c r="E23" i="8" s="1"/>
  <c r="E14" i="8"/>
  <c r="M14" i="8" s="1"/>
  <c r="R76" i="5"/>
  <c r="M18" i="7"/>
  <c r="K19" i="8"/>
  <c r="S19" i="8" s="1"/>
  <c r="E29" i="8"/>
  <c r="M29" i="8" s="1"/>
  <c r="X61" i="4"/>
  <c r="E22" i="8"/>
  <c r="E17" i="8"/>
  <c r="E34" i="8" s="1"/>
  <c r="E13" i="8"/>
  <c r="E38" i="8" s="1"/>
  <c r="AF47" i="4"/>
  <c r="E8" i="8"/>
  <c r="M8" i="8" s="1"/>
  <c r="M70" i="6"/>
  <c r="U72" i="6"/>
  <c r="AC72" i="6"/>
  <c r="E73" i="6"/>
  <c r="M73" i="6"/>
  <c r="AK73" i="6"/>
  <c r="AS73" i="6"/>
  <c r="U74" i="6"/>
  <c r="AC74" i="6"/>
  <c r="E75" i="6"/>
  <c r="M75" i="6"/>
  <c r="AK75" i="6"/>
  <c r="AS75" i="6"/>
  <c r="U76" i="6"/>
  <c r="AC76" i="6"/>
  <c r="E77" i="6"/>
  <c r="M77" i="6"/>
  <c r="AK77" i="6"/>
  <c r="AS77" i="6"/>
  <c r="U78" i="6"/>
  <c r="AC78" i="6"/>
  <c r="T48" i="1"/>
  <c r="U48" i="1" s="1"/>
  <c r="V48" i="1" s="1"/>
  <c r="AJ28" i="7"/>
  <c r="AF111" i="7"/>
  <c r="H103" i="5"/>
  <c r="H87" i="5"/>
  <c r="J104" i="5"/>
  <c r="K104" i="5" s="1"/>
  <c r="J88" i="5"/>
  <c r="K88" i="5" s="1"/>
  <c r="J106" i="5"/>
  <c r="K106" i="5" s="1"/>
  <c r="J90" i="5"/>
  <c r="K90" i="5" s="1"/>
  <c r="J92" i="5"/>
  <c r="K92" i="5" s="1"/>
  <c r="J108" i="5"/>
  <c r="K108" i="5" s="1"/>
  <c r="J95" i="5"/>
  <c r="K95" i="5" s="1"/>
  <c r="J97" i="5"/>
  <c r="K97" i="5" s="1"/>
  <c r="J99" i="5"/>
  <c r="K99" i="5" s="1"/>
  <c r="J101" i="5"/>
  <c r="K101" i="5" s="1"/>
  <c r="O50" i="1"/>
  <c r="O80" i="1" s="1"/>
  <c r="M28" i="8"/>
  <c r="O28" i="8"/>
  <c r="N28" i="8"/>
  <c r="O19" i="8"/>
  <c r="N19" i="8"/>
  <c r="M19" i="8"/>
  <c r="O10" i="8"/>
  <c r="N10" i="8"/>
  <c r="S10" i="8"/>
  <c r="S25" i="8"/>
  <c r="N25" i="8"/>
  <c r="M25" i="8"/>
  <c r="O25" i="8"/>
  <c r="O21" i="8"/>
  <c r="M21" i="8"/>
  <c r="N21" i="8"/>
  <c r="N12" i="8"/>
  <c r="O12" i="8"/>
  <c r="M12" i="8"/>
  <c r="N18" i="8"/>
  <c r="M18" i="8"/>
  <c r="S18" i="8"/>
  <c r="O18" i="8"/>
  <c r="S9" i="8"/>
  <c r="N9" i="8"/>
  <c r="O9" i="8"/>
  <c r="M9" i="8"/>
  <c r="Y61" i="1"/>
  <c r="Z61" i="1" s="1"/>
  <c r="AA61" i="1" s="1"/>
  <c r="S24" i="8"/>
  <c r="N24" i="8"/>
  <c r="M24" i="8"/>
  <c r="O24" i="8"/>
  <c r="O14" i="8"/>
  <c r="N14" i="8"/>
  <c r="E39" i="8"/>
  <c r="O29" i="8"/>
  <c r="N29" i="8"/>
  <c r="O20" i="8"/>
  <c r="N20" i="8"/>
  <c r="M20" i="8"/>
  <c r="M11" i="8"/>
  <c r="S11" i="8"/>
  <c r="O11" i="8"/>
  <c r="N11" i="8"/>
  <c r="E36" i="8"/>
  <c r="S16" i="8"/>
  <c r="M16" i="8"/>
  <c r="O16" i="8"/>
  <c r="N16" i="8"/>
  <c r="N30" i="8"/>
  <c r="M30" i="8"/>
  <c r="O30" i="8"/>
  <c r="E35" i="8"/>
  <c r="N27" i="8"/>
  <c r="O27" i="8"/>
  <c r="M27" i="8"/>
  <c r="S27" i="8"/>
  <c r="E33" i="8"/>
  <c r="O26" i="8"/>
  <c r="S26" i="8"/>
  <c r="N26" i="8"/>
  <c r="O17" i="8"/>
  <c r="N17" i="8"/>
  <c r="S17" i="8"/>
  <c r="M17" i="8"/>
  <c r="E37" i="8"/>
  <c r="N22" i="8"/>
  <c r="O22" i="8"/>
  <c r="M22" i="8"/>
  <c r="O13" i="8"/>
  <c r="N13" i="8"/>
  <c r="V47" i="5"/>
  <c r="Y47" i="5" s="1"/>
  <c r="AB47" i="5" s="1"/>
  <c r="F48" i="5"/>
  <c r="AL48" i="5"/>
  <c r="AO48" i="5" s="1"/>
  <c r="AR48" i="5" s="1"/>
  <c r="V49" i="5"/>
  <c r="Y49" i="5" s="1"/>
  <c r="AB49" i="5" s="1"/>
  <c r="F50" i="5"/>
  <c r="AL50" i="5"/>
  <c r="AO50" i="5" s="1"/>
  <c r="AR50" i="5" s="1"/>
  <c r="V51" i="5"/>
  <c r="Y51" i="5" s="1"/>
  <c r="AB51" i="5" s="1"/>
  <c r="F52" i="5"/>
  <c r="AL52" i="5"/>
  <c r="AO52" i="5" s="1"/>
  <c r="AR52" i="5" s="1"/>
  <c r="V53" i="5"/>
  <c r="Y53" i="5" s="1"/>
  <c r="AB53" i="5" s="1"/>
  <c r="AE30" i="7"/>
  <c r="X22" i="7"/>
  <c r="S62" i="4"/>
  <c r="AG75" i="4"/>
  <c r="AI78" i="4"/>
  <c r="X57" i="4"/>
  <c r="AF53" i="4"/>
  <c r="AF51" i="4"/>
  <c r="J62" i="5"/>
  <c r="R62" i="5"/>
  <c r="U62" i="5"/>
  <c r="AP62" i="5"/>
  <c r="T64" i="1"/>
  <c r="U64" i="1" s="1"/>
  <c r="V64" i="1" s="1"/>
  <c r="AK22" i="7"/>
  <c r="G102" i="7"/>
  <c r="AH54" i="5"/>
  <c r="AI54" i="5" s="1"/>
  <c r="C31" i="6"/>
  <c r="AE31" i="6"/>
  <c r="AF32" i="7"/>
  <c r="U8" i="7"/>
  <c r="AG36" i="7"/>
  <c r="Q71" i="7"/>
  <c r="Y62" i="4"/>
  <c r="AO22" i="4"/>
  <c r="AN65" i="4"/>
  <c r="AN68" i="4"/>
  <c r="V73" i="4"/>
  <c r="W73" i="4" s="1"/>
  <c r="AP34" i="4"/>
  <c r="M36" i="4"/>
  <c r="AI36" i="4"/>
  <c r="AO76" i="4"/>
  <c r="AF64" i="4"/>
  <c r="X49" i="4"/>
  <c r="P31" i="5"/>
  <c r="AU54" i="5"/>
  <c r="E62" i="5"/>
  <c r="H102" i="5" s="1"/>
  <c r="M62" i="5"/>
  <c r="AH62" i="5"/>
  <c r="AK62" i="5"/>
  <c r="AS62" i="5"/>
  <c r="AC70" i="5"/>
  <c r="AM70" i="5"/>
  <c r="P39" i="5" a="1"/>
  <c r="P39" i="5" s="1"/>
  <c r="Z39" i="5"/>
  <c r="AL39" i="5" a="1"/>
  <c r="AL39" i="5" s="1"/>
  <c r="R39" i="5"/>
  <c r="AD39" i="5" a="1"/>
  <c r="AD39" i="5" s="1"/>
  <c r="AN39" i="5"/>
  <c r="J78" i="5"/>
  <c r="AP78" i="5"/>
  <c r="AQ78" i="5" s="1"/>
  <c r="T38" i="7"/>
  <c r="AL37" i="7"/>
  <c r="AG79" i="7"/>
  <c r="E119" i="7"/>
  <c r="AJ22" i="4"/>
  <c r="U30" i="4"/>
  <c r="AB77" i="4"/>
  <c r="U68" i="4"/>
  <c r="X68" i="4" s="1"/>
  <c r="AX76" i="5"/>
  <c r="F55" i="5"/>
  <c r="AL55" i="5"/>
  <c r="AO55" i="5" s="1"/>
  <c r="AR55" i="5" s="1"/>
  <c r="V56" i="5"/>
  <c r="Y56" i="5" s="1"/>
  <c r="AB56" i="5" s="1"/>
  <c r="F57" i="5"/>
  <c r="AL57" i="5"/>
  <c r="AO57" i="5" s="1"/>
  <c r="AR57" i="5" s="1"/>
  <c r="V58" i="5"/>
  <c r="Y58" i="5" s="1"/>
  <c r="AB58" i="5" s="1"/>
  <c r="F59" i="5"/>
  <c r="AL59" i="5"/>
  <c r="AO59" i="5" s="1"/>
  <c r="AR59" i="5" s="1"/>
  <c r="V60" i="5"/>
  <c r="Y60" i="5" s="1"/>
  <c r="AB60" i="5" s="1"/>
  <c r="F61" i="5"/>
  <c r="AL61" i="5"/>
  <c r="AO61" i="5" s="1"/>
  <c r="AR61" i="5" s="1"/>
  <c r="Y50" i="1"/>
  <c r="X50" i="4"/>
  <c r="AL14" i="7"/>
  <c r="AQ74" i="4"/>
  <c r="AP54" i="5"/>
  <c r="AQ54" i="5" s="1"/>
  <c r="R54" i="5"/>
  <c r="S54" i="5" s="1"/>
  <c r="Z62" i="5"/>
  <c r="W62" i="5"/>
  <c r="X54" i="5"/>
  <c r="AF54" i="5"/>
  <c r="Z72" i="5"/>
  <c r="AA72" i="5" s="1"/>
  <c r="W72" i="5"/>
  <c r="H73" i="5"/>
  <c r="P73" i="5"/>
  <c r="R73" i="5"/>
  <c r="O73" i="5"/>
  <c r="AP73" i="5"/>
  <c r="AQ73" i="5" s="1"/>
  <c r="AM73" i="5"/>
  <c r="X74" i="5"/>
  <c r="AF74" i="5"/>
  <c r="AH74" i="5"/>
  <c r="AI74" i="5" s="1"/>
  <c r="AE74" i="5"/>
  <c r="J75" i="5"/>
  <c r="G75" i="5"/>
  <c r="AV75" i="5"/>
  <c r="AN75" i="5"/>
  <c r="AX75" i="5"/>
  <c r="AY75" i="5" s="1"/>
  <c r="AU75" i="5"/>
  <c r="Z76" i="5"/>
  <c r="AA76" i="5" s="1"/>
  <c r="W76" i="5"/>
  <c r="H77" i="5"/>
  <c r="P77" i="5"/>
  <c r="R77" i="5"/>
  <c r="S77" i="5" s="1"/>
  <c r="O77" i="5"/>
  <c r="AP77" i="5"/>
  <c r="AM77" i="5"/>
  <c r="X78" i="5"/>
  <c r="AF78" i="5"/>
  <c r="AH78" i="5"/>
  <c r="AE78" i="5"/>
  <c r="AL31" i="4"/>
  <c r="R56" i="4"/>
  <c r="U56" i="4" s="1"/>
  <c r="X56" i="4" s="1"/>
  <c r="AP57" i="4"/>
  <c r="AS57" i="4" s="1"/>
  <c r="AV57" i="4" s="1"/>
  <c r="AP58" i="4"/>
  <c r="AS58" i="4" s="1"/>
  <c r="AV58" i="4" s="1"/>
  <c r="AH59" i="4"/>
  <c r="AK59" i="4" s="1"/>
  <c r="AN59" i="4" s="1"/>
  <c r="AP63" i="4"/>
  <c r="AS63" i="4" s="1"/>
  <c r="AV63" i="4" s="1"/>
  <c r="AH64" i="4"/>
  <c r="AK64" i="4" s="1"/>
  <c r="AN64" i="4" s="1"/>
  <c r="AP66" i="4"/>
  <c r="AS66" i="4" s="1"/>
  <c r="AV66" i="4" s="1"/>
  <c r="AH69" i="4"/>
  <c r="AK69" i="4" s="1"/>
  <c r="AN69" i="4" s="1"/>
  <c r="O39" i="4" a="1"/>
  <c r="O39" i="4" s="1"/>
  <c r="AN39" i="4"/>
  <c r="AI77" i="4"/>
  <c r="AF57" i="4"/>
  <c r="U63" i="4"/>
  <c r="X63" i="4" s="1"/>
  <c r="AF61" i="4"/>
  <c r="W38" i="7"/>
  <c r="U18" i="7"/>
  <c r="AH22" i="7"/>
  <c r="U26" i="7"/>
  <c r="U146" i="7"/>
  <c r="AH48" i="4"/>
  <c r="AK48" i="4" s="1"/>
  <c r="AN48" i="4" s="1"/>
  <c r="AH52" i="4"/>
  <c r="AK52" i="4" s="1"/>
  <c r="AN52" i="4" s="1"/>
  <c r="AH53" i="4"/>
  <c r="AK53" i="4" s="1"/>
  <c r="AN53" i="4" s="1"/>
  <c r="AP67" i="4"/>
  <c r="AS67" i="4" s="1"/>
  <c r="AV67" i="4" s="1"/>
  <c r="AA77" i="4"/>
  <c r="X69" i="4"/>
  <c r="F47" i="5"/>
  <c r="J31" i="5"/>
  <c r="U54" i="5"/>
  <c r="AN54" i="5"/>
  <c r="AV54" i="5"/>
  <c r="AN31" i="5"/>
  <c r="P72" i="5"/>
  <c r="H72" i="5"/>
  <c r="O72" i="5"/>
  <c r="R72" i="5"/>
  <c r="S72" i="5" s="1"/>
  <c r="AC72" i="5"/>
  <c r="AP72" i="5"/>
  <c r="AQ72" i="5" s="1"/>
  <c r="AM72" i="5"/>
  <c r="E73" i="5"/>
  <c r="X73" i="5"/>
  <c r="AF73" i="5"/>
  <c r="AH73" i="5"/>
  <c r="AS73" i="5"/>
  <c r="G74" i="5"/>
  <c r="J74" i="5"/>
  <c r="K74" i="5" s="1"/>
  <c r="U74" i="5"/>
  <c r="AN74" i="5"/>
  <c r="AV74" i="5"/>
  <c r="AX74" i="5"/>
  <c r="AU74" i="5"/>
  <c r="M75" i="5"/>
  <c r="Z75" i="5"/>
  <c r="AA75" i="5" s="1"/>
  <c r="W75" i="5"/>
  <c r="AK75" i="5"/>
  <c r="P76" i="5"/>
  <c r="H76" i="5"/>
  <c r="O76" i="5"/>
  <c r="AC76" i="5"/>
  <c r="AP76" i="5"/>
  <c r="AM76" i="5"/>
  <c r="E77" i="5"/>
  <c r="X77" i="5"/>
  <c r="AF77" i="5"/>
  <c r="AH77" i="5"/>
  <c r="AI77" i="5" s="1"/>
  <c r="AE77" i="5"/>
  <c r="AS77" i="5"/>
  <c r="G78" i="5"/>
  <c r="U78" i="5"/>
  <c r="AN78" i="5"/>
  <c r="AV78" i="5"/>
  <c r="AX78" i="5"/>
  <c r="AU78" i="5"/>
  <c r="AE35" i="7"/>
  <c r="AK130" i="7"/>
  <c r="W30" i="7"/>
  <c r="G62" i="5"/>
  <c r="AE73" i="5"/>
  <c r="Z78" i="5"/>
  <c r="AA78" i="5" s="1"/>
  <c r="AQ73" i="4"/>
  <c r="AJ33" i="4"/>
  <c r="R70" i="5"/>
  <c r="S70" i="5" s="1"/>
  <c r="O70" i="5"/>
  <c r="W22" i="7"/>
  <c r="AX54" i="5"/>
  <c r="AV51" i="4"/>
  <c r="V14" i="4"/>
  <c r="AP55" i="4"/>
  <c r="AS55" i="4" s="1"/>
  <c r="AV55" i="4" s="1"/>
  <c r="AH56" i="4"/>
  <c r="AK56" i="4" s="1"/>
  <c r="AN56" i="4" s="1"/>
  <c r="R59" i="4"/>
  <c r="U59" i="4" s="1"/>
  <c r="X59" i="4" s="1"/>
  <c r="AP60" i="4"/>
  <c r="AS60" i="4" s="1"/>
  <c r="AV60" i="4" s="1"/>
  <c r="AP61" i="4"/>
  <c r="AS61" i="4" s="1"/>
  <c r="AV61" i="4" s="1"/>
  <c r="R64" i="4"/>
  <c r="Q70" i="4"/>
  <c r="G33" i="4"/>
  <c r="Y74" i="4"/>
  <c r="AI74" i="4"/>
  <c r="M35" i="4"/>
  <c r="AR75" i="4"/>
  <c r="T76" i="4"/>
  <c r="V77" i="4"/>
  <c r="W77" i="4" s="1"/>
  <c r="Q74" i="4"/>
  <c r="Z54" i="5"/>
  <c r="W54" i="5"/>
  <c r="AK54" i="5"/>
  <c r="AF72" i="5"/>
  <c r="X72" i="5"/>
  <c r="AE72" i="5"/>
  <c r="AH72" i="5"/>
  <c r="AI72" i="5" s="1"/>
  <c r="J73" i="5"/>
  <c r="K73" i="5" s="1"/>
  <c r="G73" i="5"/>
  <c r="AN73" i="5"/>
  <c r="AV73" i="5"/>
  <c r="AX73" i="5"/>
  <c r="AY73" i="5" s="1"/>
  <c r="P75" i="5"/>
  <c r="H75" i="5"/>
  <c r="R75" i="5"/>
  <c r="O75" i="5"/>
  <c r="AP75" i="5"/>
  <c r="AF76" i="5"/>
  <c r="X76" i="5"/>
  <c r="AE76" i="5"/>
  <c r="AH76" i="5"/>
  <c r="AI76" i="5" s="1"/>
  <c r="J77" i="5"/>
  <c r="K77" i="5" s="1"/>
  <c r="G77" i="5"/>
  <c r="AN77" i="5"/>
  <c r="AV77" i="5"/>
  <c r="AX77" i="5"/>
  <c r="AY77" i="5" s="1"/>
  <c r="AU77" i="5"/>
  <c r="T45" i="1"/>
  <c r="U45" i="1" s="1"/>
  <c r="V45" i="1" s="1"/>
  <c r="R37" i="7"/>
  <c r="V21" i="7"/>
  <c r="Z74" i="5"/>
  <c r="AA74" i="5" s="1"/>
  <c r="H70" i="5"/>
  <c r="P70" i="5"/>
  <c r="AF35" i="7"/>
  <c r="AT77" i="4"/>
  <c r="AU77" i="4" s="1"/>
  <c r="AT78" i="4"/>
  <c r="AU78" i="4" s="1"/>
  <c r="AR76" i="4"/>
  <c r="H54" i="5"/>
  <c r="P54" i="5"/>
  <c r="O54" i="5"/>
  <c r="AN62" i="5"/>
  <c r="AV62" i="5"/>
  <c r="AX62" i="5"/>
  <c r="AY62" i="5" s="1"/>
  <c r="AU62" i="5"/>
  <c r="X54" i="6"/>
  <c r="I35" i="7"/>
  <c r="G54" i="5"/>
  <c r="AE62" i="5"/>
  <c r="AP70" i="5"/>
  <c r="AM75" i="5"/>
  <c r="AO78" i="4"/>
  <c r="AP36" i="4"/>
  <c r="X62" i="5"/>
  <c r="AF62" i="5"/>
  <c r="R48" i="4"/>
  <c r="AA62" i="4"/>
  <c r="T77" i="4"/>
  <c r="AJ77" i="4"/>
  <c r="G38" i="4"/>
  <c r="AC54" i="5"/>
  <c r="J72" i="5"/>
  <c r="G72" i="5"/>
  <c r="AV72" i="5"/>
  <c r="AN72" i="5"/>
  <c r="AU72" i="5"/>
  <c r="AX72" i="5"/>
  <c r="AY72" i="5" s="1"/>
  <c r="Z73" i="5"/>
  <c r="W73" i="5"/>
  <c r="H74" i="5"/>
  <c r="P74" i="5"/>
  <c r="R74" i="5"/>
  <c r="S74" i="5" s="1"/>
  <c r="O74" i="5"/>
  <c r="AM74" i="5"/>
  <c r="AP74" i="5"/>
  <c r="AF75" i="5"/>
  <c r="X75" i="5"/>
  <c r="AH75" i="5"/>
  <c r="AE75" i="5"/>
  <c r="J76" i="5"/>
  <c r="K76" i="5" s="1"/>
  <c r="G76" i="5"/>
  <c r="AV76" i="5"/>
  <c r="AN76" i="5"/>
  <c r="Z77" i="5"/>
  <c r="AA77" i="5" s="1"/>
  <c r="W77" i="5"/>
  <c r="H78" i="5"/>
  <c r="P78" i="5"/>
  <c r="R78" i="5"/>
  <c r="S78" i="5" s="1"/>
  <c r="O78" i="5"/>
  <c r="AC54" i="6"/>
  <c r="M62" i="6"/>
  <c r="E70" i="6"/>
  <c r="T36" i="7"/>
  <c r="AF30" i="7"/>
  <c r="AP30" i="7" s="1"/>
  <c r="W111" i="7"/>
  <c r="J54" i="5"/>
  <c r="K54" i="5" s="1"/>
  <c r="AD63" i="5"/>
  <c r="AG63" i="5" s="1"/>
  <c r="AJ63" i="5" s="1"/>
  <c r="N64" i="5"/>
  <c r="H25" i="8" s="1"/>
  <c r="AT64" i="5"/>
  <c r="AW64" i="5" s="1"/>
  <c r="AZ64" i="5" s="1"/>
  <c r="AD65" i="5"/>
  <c r="AG65" i="5" s="1"/>
  <c r="AJ65" i="5" s="1"/>
  <c r="N66" i="5"/>
  <c r="AT66" i="5"/>
  <c r="AW66" i="5" s="1"/>
  <c r="AZ66" i="5" s="1"/>
  <c r="AD67" i="5"/>
  <c r="AG67" i="5" s="1"/>
  <c r="AJ67" i="5" s="1"/>
  <c r="N68" i="5"/>
  <c r="H29" i="8" s="1"/>
  <c r="P29" i="8" s="1"/>
  <c r="AT68" i="5"/>
  <c r="AW68" i="5" s="1"/>
  <c r="AZ68" i="5" s="1"/>
  <c r="AD69" i="5"/>
  <c r="AG69" i="5" s="1"/>
  <c r="AJ69" i="5" s="1"/>
  <c r="E70" i="5"/>
  <c r="X70" i="5"/>
  <c r="AF70" i="5"/>
  <c r="AH70" i="5"/>
  <c r="AI70" i="5" s="1"/>
  <c r="AE70" i="5"/>
  <c r="AS70" i="5"/>
  <c r="E54" i="6"/>
  <c r="AF54" i="6"/>
  <c r="AE54" i="6"/>
  <c r="AS54" i="6"/>
  <c r="AE70" i="6"/>
  <c r="F39" i="6"/>
  <c r="AD39" i="6" a="1"/>
  <c r="AD39" i="6" s="1"/>
  <c r="AE32" i="7"/>
  <c r="W14" i="7"/>
  <c r="AH119" i="7"/>
  <c r="AK146" i="7"/>
  <c r="G70" i="5"/>
  <c r="U70" i="5"/>
  <c r="AN70" i="5"/>
  <c r="AV70" i="5"/>
  <c r="AX70" i="5"/>
  <c r="AU70" i="5"/>
  <c r="J39" i="5" a="1"/>
  <c r="J39" i="5" s="1"/>
  <c r="AF39" i="5"/>
  <c r="AR39" i="5" a="1"/>
  <c r="AR39" i="5" s="1"/>
  <c r="U54" i="6"/>
  <c r="AV54" i="6"/>
  <c r="E62" i="6"/>
  <c r="S37" i="7"/>
  <c r="AK36" i="7"/>
  <c r="AK35" i="7"/>
  <c r="O62" i="5"/>
  <c r="J70" i="5"/>
  <c r="X52" i="4"/>
  <c r="AL47" i="5"/>
  <c r="AO47" i="5" s="1"/>
  <c r="AR47" i="5" s="1"/>
  <c r="V48" i="5"/>
  <c r="Y48" i="5" s="1"/>
  <c r="AB48" i="5" s="1"/>
  <c r="F49" i="5"/>
  <c r="AL49" i="5"/>
  <c r="AO49" i="5" s="1"/>
  <c r="AR49" i="5" s="1"/>
  <c r="V50" i="5"/>
  <c r="Y50" i="5" s="1"/>
  <c r="AB50" i="5" s="1"/>
  <c r="F51" i="5"/>
  <c r="AL51" i="5"/>
  <c r="AO51" i="5" s="1"/>
  <c r="AR51" i="5" s="1"/>
  <c r="V52" i="5"/>
  <c r="Y52" i="5" s="1"/>
  <c r="AB52" i="5" s="1"/>
  <c r="F53" i="5"/>
  <c r="AL53" i="5"/>
  <c r="AO53" i="5" s="1"/>
  <c r="AR53" i="5" s="1"/>
  <c r="AS54" i="5"/>
  <c r="V55" i="5"/>
  <c r="Y55" i="5" s="1"/>
  <c r="AB55" i="5" s="1"/>
  <c r="F56" i="5"/>
  <c r="AL56" i="5"/>
  <c r="AO56" i="5" s="1"/>
  <c r="AR56" i="5" s="1"/>
  <c r="V57" i="5"/>
  <c r="Y57" i="5" s="1"/>
  <c r="AB57" i="5" s="1"/>
  <c r="F58" i="5"/>
  <c r="AL58" i="5"/>
  <c r="AO58" i="5" s="1"/>
  <c r="AR58" i="5" s="1"/>
  <c r="V59" i="5"/>
  <c r="Y59" i="5" s="1"/>
  <c r="AB59" i="5" s="1"/>
  <c r="F60" i="5"/>
  <c r="AL60" i="5"/>
  <c r="AO60" i="5" s="1"/>
  <c r="AR60" i="5" s="1"/>
  <c r="V61" i="5"/>
  <c r="Y61" i="5" s="1"/>
  <c r="AB61" i="5" s="1"/>
  <c r="H62" i="5"/>
  <c r="P62" i="5"/>
  <c r="AC62" i="5"/>
  <c r="N63" i="5"/>
  <c r="AT63" i="5"/>
  <c r="AW63" i="5" s="1"/>
  <c r="AZ63" i="5" s="1"/>
  <c r="AD64" i="5"/>
  <c r="AG64" i="5" s="1"/>
  <c r="AJ64" i="5" s="1"/>
  <c r="N65" i="5"/>
  <c r="AT65" i="5"/>
  <c r="AW65" i="5" s="1"/>
  <c r="AZ65" i="5" s="1"/>
  <c r="AD66" i="5"/>
  <c r="AG66" i="5" s="1"/>
  <c r="AJ66" i="5" s="1"/>
  <c r="N67" i="5"/>
  <c r="H28" i="8" s="1"/>
  <c r="P28" i="8" s="1"/>
  <c r="AT67" i="5"/>
  <c r="AW67" i="5" s="1"/>
  <c r="AZ67" i="5" s="1"/>
  <c r="AD68" i="5"/>
  <c r="AG68" i="5" s="1"/>
  <c r="AJ68" i="5" s="1"/>
  <c r="N69" i="5"/>
  <c r="H30" i="8" s="1"/>
  <c r="AT69" i="5"/>
  <c r="AW69" i="5" s="1"/>
  <c r="AZ69" i="5" s="1"/>
  <c r="M70" i="5"/>
  <c r="W70" i="5"/>
  <c r="AK70" i="5"/>
  <c r="M54" i="6"/>
  <c r="AK54" i="6"/>
  <c r="U62" i="6"/>
  <c r="X39" i="6" a="1"/>
  <c r="X39" i="6" s="1"/>
  <c r="O44" i="1"/>
  <c r="AH38" i="7"/>
  <c r="I22" i="7"/>
  <c r="AJ21" i="7"/>
  <c r="AL22" i="7"/>
  <c r="AK30" i="7"/>
  <c r="Z70" i="5"/>
  <c r="AA70" i="5" s="1"/>
  <c r="G117" i="7"/>
  <c r="AL36" i="7"/>
  <c r="G78" i="7"/>
  <c r="AH71" i="7"/>
  <c r="AK37" i="7"/>
  <c r="AL38" i="7"/>
  <c r="AK119" i="7" a="1"/>
  <c r="AK119" i="7" s="1"/>
  <c r="N47" i="5"/>
  <c r="H8" i="8" s="1"/>
  <c r="AD47" i="5"/>
  <c r="AG47" i="5" s="1"/>
  <c r="AJ47" i="5" s="1"/>
  <c r="AT47" i="5"/>
  <c r="AW47" i="5" s="1"/>
  <c r="AZ47" i="5" s="1"/>
  <c r="N48" i="5"/>
  <c r="H9" i="8" s="1"/>
  <c r="AD48" i="5"/>
  <c r="AG48" i="5" s="1"/>
  <c r="AJ48" i="5" s="1"/>
  <c r="AT48" i="5"/>
  <c r="AW48" i="5" s="1"/>
  <c r="AZ48" i="5" s="1"/>
  <c r="N49" i="5"/>
  <c r="H10" i="8" s="1"/>
  <c r="P10" i="8" s="1"/>
  <c r="AD49" i="5"/>
  <c r="AG49" i="5" s="1"/>
  <c r="AJ49" i="5" s="1"/>
  <c r="AT49" i="5"/>
  <c r="AW49" i="5" s="1"/>
  <c r="AZ49" i="5" s="1"/>
  <c r="N50" i="5"/>
  <c r="H11" i="8" s="1"/>
  <c r="P11" i="8" s="1"/>
  <c r="AD50" i="5"/>
  <c r="AG50" i="5" s="1"/>
  <c r="AJ50" i="5" s="1"/>
  <c r="AT50" i="5"/>
  <c r="AW50" i="5" s="1"/>
  <c r="AZ50" i="5" s="1"/>
  <c r="N51" i="5"/>
  <c r="H12" i="8" s="1"/>
  <c r="AD51" i="5"/>
  <c r="AG51" i="5" s="1"/>
  <c r="AJ51" i="5" s="1"/>
  <c r="AT51" i="5"/>
  <c r="AW51" i="5" s="1"/>
  <c r="AZ51" i="5" s="1"/>
  <c r="N52" i="5"/>
  <c r="H13" i="8" s="1"/>
  <c r="AD52" i="5"/>
  <c r="AG52" i="5" s="1"/>
  <c r="AJ52" i="5" s="1"/>
  <c r="AT52" i="5"/>
  <c r="AW52" i="5" s="1"/>
  <c r="AZ52" i="5" s="1"/>
  <c r="N53" i="5"/>
  <c r="H14" i="8" s="1"/>
  <c r="AD53" i="5"/>
  <c r="AG53" i="5" s="1"/>
  <c r="AJ53" i="5" s="1"/>
  <c r="AT53" i="5"/>
  <c r="AW53" i="5" s="1"/>
  <c r="AZ53" i="5" s="1"/>
  <c r="N55" i="5"/>
  <c r="H16" i="8" s="1"/>
  <c r="AD55" i="5"/>
  <c r="AG55" i="5" s="1"/>
  <c r="AJ55" i="5" s="1"/>
  <c r="AT55" i="5"/>
  <c r="AW55" i="5" s="1"/>
  <c r="AZ55" i="5" s="1"/>
  <c r="N56" i="5"/>
  <c r="H17" i="8" s="1"/>
  <c r="AD56" i="5"/>
  <c r="AG56" i="5" s="1"/>
  <c r="AJ56" i="5" s="1"/>
  <c r="AT56" i="5"/>
  <c r="AW56" i="5" s="1"/>
  <c r="AZ56" i="5" s="1"/>
  <c r="N57" i="5"/>
  <c r="H18" i="8" s="1"/>
  <c r="AD57" i="5"/>
  <c r="AG57" i="5" s="1"/>
  <c r="AJ57" i="5" s="1"/>
  <c r="AT57" i="5"/>
  <c r="AW57" i="5" s="1"/>
  <c r="AZ57" i="5" s="1"/>
  <c r="N58" i="5"/>
  <c r="H19" i="8" s="1"/>
  <c r="P19" i="8" s="1"/>
  <c r="AD58" i="5"/>
  <c r="AG58" i="5" s="1"/>
  <c r="AJ58" i="5" s="1"/>
  <c r="AT58" i="5"/>
  <c r="AW58" i="5" s="1"/>
  <c r="AZ58" i="5" s="1"/>
  <c r="N59" i="5"/>
  <c r="H20" i="8" s="1"/>
  <c r="AD59" i="5"/>
  <c r="AG59" i="5" s="1"/>
  <c r="AJ59" i="5" s="1"/>
  <c r="AT59" i="5"/>
  <c r="AW59" i="5" s="1"/>
  <c r="AZ59" i="5" s="1"/>
  <c r="N60" i="5"/>
  <c r="H21" i="8" s="1"/>
  <c r="P21" i="8" s="1"/>
  <c r="AD60" i="5"/>
  <c r="AG60" i="5" s="1"/>
  <c r="AJ60" i="5" s="1"/>
  <c r="AT60" i="5"/>
  <c r="AW60" i="5" s="1"/>
  <c r="AZ60" i="5" s="1"/>
  <c r="N61" i="5"/>
  <c r="H22" i="8" s="1"/>
  <c r="P22" i="8" s="1"/>
  <c r="AD61" i="5"/>
  <c r="AG61" i="5" s="1"/>
  <c r="AJ61" i="5" s="1"/>
  <c r="AT61" i="5"/>
  <c r="AW61" i="5" s="1"/>
  <c r="AZ61" i="5" s="1"/>
  <c r="F63" i="5"/>
  <c r="I63" i="5" s="1"/>
  <c r="L63" i="5" s="1"/>
  <c r="V63" i="5"/>
  <c r="Y63" i="5" s="1"/>
  <c r="AB63" i="5" s="1"/>
  <c r="AL63" i="5"/>
  <c r="AO63" i="5" s="1"/>
  <c r="AR63" i="5" s="1"/>
  <c r="F64" i="5"/>
  <c r="V64" i="5"/>
  <c r="Y64" i="5" s="1"/>
  <c r="AB64" i="5" s="1"/>
  <c r="AL64" i="5"/>
  <c r="AO64" i="5" s="1"/>
  <c r="AR64" i="5" s="1"/>
  <c r="F65" i="5"/>
  <c r="V65" i="5"/>
  <c r="Y65" i="5" s="1"/>
  <c r="AB65" i="5" s="1"/>
  <c r="AL65" i="5"/>
  <c r="AO65" i="5" s="1"/>
  <c r="AR65" i="5" s="1"/>
  <c r="F66" i="5"/>
  <c r="I66" i="5" s="1"/>
  <c r="L66" i="5" s="1"/>
  <c r="V66" i="5"/>
  <c r="Y66" i="5" s="1"/>
  <c r="AB66" i="5" s="1"/>
  <c r="AL66" i="5"/>
  <c r="AO66" i="5" s="1"/>
  <c r="AR66" i="5" s="1"/>
  <c r="F67" i="5"/>
  <c r="I67" i="5" s="1"/>
  <c r="L67" i="5" s="1"/>
  <c r="V67" i="5"/>
  <c r="Y67" i="5" s="1"/>
  <c r="AB67" i="5" s="1"/>
  <c r="AL67" i="5"/>
  <c r="AO67" i="5" s="1"/>
  <c r="AR67" i="5" s="1"/>
  <c r="F68" i="5"/>
  <c r="I68" i="5" s="1"/>
  <c r="L68" i="5" s="1"/>
  <c r="V68" i="5"/>
  <c r="Y68" i="5" s="1"/>
  <c r="AB68" i="5" s="1"/>
  <c r="AL68" i="5"/>
  <c r="AO68" i="5" s="1"/>
  <c r="AR68" i="5" s="1"/>
  <c r="F69" i="5"/>
  <c r="V69" i="5"/>
  <c r="Y69" i="5" s="1"/>
  <c r="AB69" i="5" s="1"/>
  <c r="AL69" i="5"/>
  <c r="AO69" i="5" s="1"/>
  <c r="AR69" i="5" s="1"/>
  <c r="AD53" i="1"/>
  <c r="AE53" i="1" s="1"/>
  <c r="AF53" i="1" s="1"/>
  <c r="Y42" i="1"/>
  <c r="AD59" i="1"/>
  <c r="AE59" i="1" s="1"/>
  <c r="AF59" i="1" s="1"/>
  <c r="T59" i="1"/>
  <c r="U59" i="1" s="1"/>
  <c r="V59" i="1" s="1"/>
  <c r="O56" i="1"/>
  <c r="T55" i="1"/>
  <c r="U55" i="1" s="1"/>
  <c r="V55" i="1" s="1"/>
  <c r="AD51" i="1"/>
  <c r="AE51" i="1" s="1"/>
  <c r="AF51" i="1" s="1"/>
  <c r="T53" i="1"/>
  <c r="U53" i="1" s="1"/>
  <c r="V53" i="1" s="1"/>
  <c r="Y54" i="1"/>
  <c r="Q36" i="7"/>
  <c r="U131" i="7"/>
  <c r="AI13" i="7"/>
  <c r="AK133" i="7"/>
  <c r="AE38" i="7"/>
  <c r="X71" i="7"/>
  <c r="AL30" i="7"/>
  <c r="W119" i="7" a="1"/>
  <c r="W119" i="7" s="1"/>
  <c r="AK139" i="7"/>
  <c r="AF33" i="7"/>
  <c r="U9" i="7"/>
  <c r="W35" i="7"/>
  <c r="G12" i="7"/>
  <c r="AJ12" i="7"/>
  <c r="AF37" i="7"/>
  <c r="X38" i="7"/>
  <c r="I14" i="7"/>
  <c r="I30" i="7"/>
  <c r="AO28" i="7"/>
  <c r="AK148" i="7"/>
  <c r="G37" i="7"/>
  <c r="S71" i="7"/>
  <c r="AG71" i="7"/>
  <c r="R119" i="7"/>
  <c r="X119" i="7" a="1"/>
  <c r="X119" i="7" s="1"/>
  <c r="U130" i="7"/>
  <c r="AK127" i="7"/>
  <c r="S14" i="7"/>
  <c r="S35" i="7"/>
  <c r="W36" i="7"/>
  <c r="U20" i="7"/>
  <c r="U140" i="7"/>
  <c r="AH111" i="7"/>
  <c r="U138" i="7"/>
  <c r="AE33" i="7"/>
  <c r="AK128" i="7"/>
  <c r="AF34" i="7"/>
  <c r="AE37" i="7"/>
  <c r="AK132" i="7"/>
  <c r="G22" i="7"/>
  <c r="AI27" i="7"/>
  <c r="AO27" i="7"/>
  <c r="G30" i="7"/>
  <c r="Q119" i="7"/>
  <c r="AH36" i="7"/>
  <c r="I37" i="7"/>
  <c r="S38" i="7"/>
  <c r="AG38" i="7"/>
  <c r="AE14" i="7"/>
  <c r="Q30" i="7"/>
  <c r="U147" i="7"/>
  <c r="V28" i="7"/>
  <c r="AF71" i="7"/>
  <c r="X30" i="7"/>
  <c r="G77" i="7"/>
  <c r="AE79" i="7"/>
  <c r="AG111" i="7"/>
  <c r="C132" i="7"/>
  <c r="V18" i="7"/>
  <c r="AI18" i="7"/>
  <c r="S22" i="7"/>
  <c r="AI20" i="7"/>
  <c r="V27" i="7"/>
  <c r="U28" i="7"/>
  <c r="AI29" i="7"/>
  <c r="W71" i="7"/>
  <c r="T79" i="7"/>
  <c r="AL79" i="7" a="1"/>
  <c r="AL79" i="7" s="1"/>
  <c r="I111" i="7"/>
  <c r="G110" i="7"/>
  <c r="AK140" i="7"/>
  <c r="R22" i="7"/>
  <c r="R33" i="7"/>
  <c r="AF22" i="7"/>
  <c r="AE34" i="7"/>
  <c r="U29" i="7"/>
  <c r="R71" i="7"/>
  <c r="G62" i="7"/>
  <c r="T71" i="7"/>
  <c r="Q79" i="7"/>
  <c r="W79" i="7" a="1"/>
  <c r="W79" i="7" s="1"/>
  <c r="AE111" i="7"/>
  <c r="Q111" i="7"/>
  <c r="T119" i="7"/>
  <c r="AL119" i="7" a="1"/>
  <c r="AL119" i="7" s="1"/>
  <c r="G118" i="7"/>
  <c r="AK149" i="7"/>
  <c r="U148" i="7"/>
  <c r="AK145" i="7"/>
  <c r="AK141" i="7"/>
  <c r="Z31" i="5"/>
  <c r="AQ62" i="5"/>
  <c r="L31" i="5"/>
  <c r="AQ77" i="5"/>
  <c r="O48" i="1"/>
  <c r="AD61" i="1"/>
  <c r="AE61" i="1" s="1"/>
  <c r="AF61" i="1" s="1"/>
  <c r="AD60" i="1"/>
  <c r="AE60" i="1" s="1"/>
  <c r="AF60" i="1" s="1"/>
  <c r="T60" i="1"/>
  <c r="U60" i="1" s="1"/>
  <c r="V60" i="1" s="1"/>
  <c r="O59" i="1"/>
  <c r="P59" i="1" s="1"/>
  <c r="Q59" i="1" s="1"/>
  <c r="Y53" i="1"/>
  <c r="AD50" i="1"/>
  <c r="AE50" i="1" s="1"/>
  <c r="AF50" i="1" s="1"/>
  <c r="O64" i="1"/>
  <c r="P64" i="1" s="1"/>
  <c r="Q64" i="1" s="1"/>
  <c r="AD56" i="1"/>
  <c r="AE56" i="1" s="1"/>
  <c r="AF56" i="1" s="1"/>
  <c r="Y46" i="1"/>
  <c r="O46" i="1"/>
  <c r="AD64" i="1"/>
  <c r="AE64" i="1" s="1"/>
  <c r="AF64" i="1" s="1"/>
  <c r="O55" i="1"/>
  <c r="O53" i="1"/>
  <c r="T52" i="1"/>
  <c r="U52" i="1" s="1"/>
  <c r="V52" i="1" s="1"/>
  <c r="Y47" i="1"/>
  <c r="O52" i="1"/>
  <c r="Y51" i="1"/>
  <c r="O63" i="1"/>
  <c r="P63" i="1" s="1"/>
  <c r="Q63" i="1" s="1"/>
  <c r="AD47" i="1"/>
  <c r="AE47" i="1" s="1"/>
  <c r="AF47" i="1" s="1"/>
  <c r="O43" i="1"/>
  <c r="AJ10" i="7"/>
  <c r="V12" i="7"/>
  <c r="AD62" i="1"/>
  <c r="AE62" i="1" s="1"/>
  <c r="AF62" i="1" s="1"/>
  <c r="T54" i="1"/>
  <c r="U54" i="1" s="1"/>
  <c r="V54" i="1" s="1"/>
  <c r="AD48" i="1"/>
  <c r="AE48" i="1" s="1"/>
  <c r="AF48" i="1" s="1"/>
  <c r="Q32" i="7"/>
  <c r="U7" i="7"/>
  <c r="R34" i="7"/>
  <c r="X36" i="7"/>
  <c r="AI12" i="7"/>
  <c r="Q14" i="7"/>
  <c r="AF14" i="7"/>
  <c r="AD52" i="1"/>
  <c r="AE52" i="1" s="1"/>
  <c r="AF52" i="1" s="1"/>
  <c r="AD46" i="1"/>
  <c r="AE46" i="1" s="1"/>
  <c r="AF46" i="1" s="1"/>
  <c r="E35" i="7"/>
  <c r="E39" i="7" s="1"/>
  <c r="E14" i="7"/>
  <c r="E31" i="7" s="1"/>
  <c r="AI10" i="7"/>
  <c r="G11" i="7"/>
  <c r="C36" i="7"/>
  <c r="Q37" i="7"/>
  <c r="U12" i="7"/>
  <c r="C38" i="7"/>
  <c r="G13" i="7"/>
  <c r="Q22" i="7"/>
  <c r="AG22" i="7"/>
  <c r="U19" i="7"/>
  <c r="AP21" i="7"/>
  <c r="AJ30" i="7"/>
  <c r="AH30" i="7"/>
  <c r="T30" i="7"/>
  <c r="W37" i="7"/>
  <c r="K75" i="7"/>
  <c r="M75" i="7" s="1"/>
  <c r="M50" i="7"/>
  <c r="U27" i="7"/>
  <c r="T61" i="1"/>
  <c r="U61" i="1" s="1"/>
  <c r="V61" i="1" s="1"/>
  <c r="AD55" i="1"/>
  <c r="AE55" i="1" s="1"/>
  <c r="AF55" i="1" s="1"/>
  <c r="K35" i="7"/>
  <c r="AK71" i="7"/>
  <c r="AK14" i="7"/>
  <c r="AD63" i="1"/>
  <c r="AE63" i="1" s="1"/>
  <c r="AF63" i="1" s="1"/>
  <c r="AD58" i="1"/>
  <c r="AE58" i="1" s="1"/>
  <c r="AF58" i="1" s="1"/>
  <c r="T58" i="1"/>
  <c r="U58" i="1" s="1"/>
  <c r="V58" i="1" s="1"/>
  <c r="AD43" i="1"/>
  <c r="AE43" i="1" s="1"/>
  <c r="AF43" i="1" s="1"/>
  <c r="T43" i="1"/>
  <c r="U43" i="1" s="1"/>
  <c r="V43" i="1" s="1"/>
  <c r="T42" i="1"/>
  <c r="U42" i="1" s="1"/>
  <c r="V42" i="1" s="1"/>
  <c r="R32" i="7"/>
  <c r="V7" i="7"/>
  <c r="C35" i="7"/>
  <c r="C14" i="7"/>
  <c r="G10" i="7"/>
  <c r="M10" i="7"/>
  <c r="T35" i="7"/>
  <c r="T14" i="7"/>
  <c r="S36" i="7"/>
  <c r="R14" i="7"/>
  <c r="T22" i="7"/>
  <c r="V20" i="7"/>
  <c r="U21" i="7"/>
  <c r="M26" i="7"/>
  <c r="AG30" i="7"/>
  <c r="AI30" i="7" s="1"/>
  <c r="AO30" i="7"/>
  <c r="M66" i="7"/>
  <c r="G76" i="7"/>
  <c r="I79" i="7"/>
  <c r="F47" i="6"/>
  <c r="I47" i="6" s="1"/>
  <c r="L47" i="6" s="1"/>
  <c r="V47" i="6"/>
  <c r="Y47" i="6" s="1"/>
  <c r="AB47" i="6" s="1"/>
  <c r="AL47" i="6"/>
  <c r="AO47" i="6" s="1"/>
  <c r="AR47" i="6" s="1"/>
  <c r="F49" i="6"/>
  <c r="I49" i="6" s="1"/>
  <c r="L49" i="6" s="1"/>
  <c r="V49" i="6"/>
  <c r="Y49" i="6" s="1"/>
  <c r="AB49" i="6" s="1"/>
  <c r="AL49" i="6"/>
  <c r="AO49" i="6" s="1"/>
  <c r="AR49" i="6" s="1"/>
  <c r="F51" i="6"/>
  <c r="I51" i="6" s="1"/>
  <c r="L51" i="6" s="1"/>
  <c r="V51" i="6"/>
  <c r="Y51" i="6" s="1"/>
  <c r="AB51" i="6" s="1"/>
  <c r="AL51" i="6"/>
  <c r="AO51" i="6" s="1"/>
  <c r="AR51" i="6" s="1"/>
  <c r="F53" i="6"/>
  <c r="I53" i="6" s="1"/>
  <c r="L53" i="6" s="1"/>
  <c r="V53" i="6"/>
  <c r="Y53" i="6" s="1"/>
  <c r="AB53" i="6" s="1"/>
  <c r="AL53" i="6"/>
  <c r="AO53" i="6" s="1"/>
  <c r="AR53" i="6" s="1"/>
  <c r="AD55" i="6"/>
  <c r="AG55" i="6" s="1"/>
  <c r="AJ55" i="6" s="1"/>
  <c r="N57" i="6"/>
  <c r="I18" i="8" s="1"/>
  <c r="Q18" i="8" s="1"/>
  <c r="AD57" i="6"/>
  <c r="AG57" i="6" s="1"/>
  <c r="AJ57" i="6" s="1"/>
  <c r="AT57" i="6"/>
  <c r="AW57" i="6" s="1"/>
  <c r="AZ57" i="6" s="1"/>
  <c r="N59" i="6"/>
  <c r="I20" i="8" s="1"/>
  <c r="Q20" i="8" s="1"/>
  <c r="AD59" i="6"/>
  <c r="AG59" i="6" s="1"/>
  <c r="AJ59" i="6" s="1"/>
  <c r="N63" i="6"/>
  <c r="I24" i="8" s="1"/>
  <c r="AD63" i="6"/>
  <c r="AG63" i="6" s="1"/>
  <c r="AJ63" i="6" s="1"/>
  <c r="AT63" i="6"/>
  <c r="AW63" i="6" s="1"/>
  <c r="AZ63" i="6" s="1"/>
  <c r="N64" i="6"/>
  <c r="I25" i="8" s="1"/>
  <c r="Q25" i="8" s="1"/>
  <c r="AD64" i="6"/>
  <c r="AG64" i="6" s="1"/>
  <c r="AJ64" i="6" s="1"/>
  <c r="AT64" i="6"/>
  <c r="AW64" i="6" s="1"/>
  <c r="AZ64" i="6" s="1"/>
  <c r="N65" i="6"/>
  <c r="I26" i="8" s="1"/>
  <c r="Q26" i="8" s="1"/>
  <c r="AD65" i="6"/>
  <c r="AG65" i="6" s="1"/>
  <c r="AJ65" i="6" s="1"/>
  <c r="AT65" i="6"/>
  <c r="AW65" i="6" s="1"/>
  <c r="AZ65" i="6" s="1"/>
  <c r="N66" i="6"/>
  <c r="I27" i="8" s="1"/>
  <c r="Q27" i="8" s="1"/>
  <c r="AD66" i="6"/>
  <c r="AG66" i="6" s="1"/>
  <c r="AJ66" i="6" s="1"/>
  <c r="AT66" i="6"/>
  <c r="AW66" i="6" s="1"/>
  <c r="AZ66" i="6" s="1"/>
  <c r="N67" i="6"/>
  <c r="I28" i="8" s="1"/>
  <c r="AD67" i="6"/>
  <c r="AG67" i="6" s="1"/>
  <c r="AJ67" i="6" s="1"/>
  <c r="AT67" i="6"/>
  <c r="AW67" i="6" s="1"/>
  <c r="AZ67" i="6" s="1"/>
  <c r="N68" i="6"/>
  <c r="I29" i="8" s="1"/>
  <c r="Q29" i="8" s="1"/>
  <c r="AD68" i="6"/>
  <c r="AG68" i="6" s="1"/>
  <c r="AJ68" i="6" s="1"/>
  <c r="AT68" i="6"/>
  <c r="AW68" i="6" s="1"/>
  <c r="AZ68" i="6" s="1"/>
  <c r="N69" i="6"/>
  <c r="I30" i="8" s="1"/>
  <c r="Q30" i="8" s="1"/>
  <c r="AD69" i="6"/>
  <c r="AG69" i="6" s="1"/>
  <c r="AJ69" i="6" s="1"/>
  <c r="AT69" i="6"/>
  <c r="AW69" i="6" s="1"/>
  <c r="AZ69" i="6" s="1"/>
  <c r="Y62" i="1"/>
  <c r="Z62" i="1" s="1"/>
  <c r="AA62" i="1" s="1"/>
  <c r="O61" i="1"/>
  <c r="P61" i="1" s="1"/>
  <c r="Q61" i="1" s="1"/>
  <c r="O60" i="1"/>
  <c r="P60" i="1" s="1"/>
  <c r="Q60" i="1" s="1"/>
  <c r="Y58" i="1"/>
  <c r="Z58" i="1" s="1"/>
  <c r="AA58" i="1" s="1"/>
  <c r="O58" i="1"/>
  <c r="P58" i="1" s="1"/>
  <c r="Q58" i="1" s="1"/>
  <c r="T56" i="1"/>
  <c r="U56" i="1" s="1"/>
  <c r="V56" i="1" s="1"/>
  <c r="AD54" i="1"/>
  <c r="AE54" i="1" s="1"/>
  <c r="AF54" i="1" s="1"/>
  <c r="O54" i="1"/>
  <c r="Y52" i="1"/>
  <c r="O51" i="1"/>
  <c r="Y48" i="1"/>
  <c r="O47" i="1"/>
  <c r="Y45" i="1"/>
  <c r="AD44" i="1"/>
  <c r="AE44" i="1" s="1"/>
  <c r="AF44" i="1" s="1"/>
  <c r="T44" i="1"/>
  <c r="U44" i="1" s="1"/>
  <c r="V44" i="1" s="1"/>
  <c r="Y43" i="1"/>
  <c r="AD42" i="1"/>
  <c r="AE42" i="1" s="1"/>
  <c r="AF42" i="1" s="1"/>
  <c r="Q42" i="1"/>
  <c r="Q33" i="7"/>
  <c r="X35" i="7"/>
  <c r="V10" i="7"/>
  <c r="AH35" i="7"/>
  <c r="I36" i="7"/>
  <c r="R36" i="7"/>
  <c r="V11" i="7"/>
  <c r="AF36" i="7"/>
  <c r="AJ11" i="7"/>
  <c r="T37" i="7"/>
  <c r="V37" i="7" s="1"/>
  <c r="X37" i="7"/>
  <c r="AH37" i="7"/>
  <c r="I38" i="7"/>
  <c r="R38" i="7"/>
  <c r="V38" i="7" s="1"/>
  <c r="V13" i="7"/>
  <c r="AF38" i="7"/>
  <c r="AJ13" i="7"/>
  <c r="X14" i="7"/>
  <c r="AH14" i="7"/>
  <c r="AI19" i="7"/>
  <c r="AI21" i="7"/>
  <c r="R30" i="7"/>
  <c r="V30" i="7" s="1"/>
  <c r="S30" i="7"/>
  <c r="R35" i="7"/>
  <c r="M58" i="7"/>
  <c r="AK111" i="7"/>
  <c r="Y64" i="1"/>
  <c r="Z64" i="1" s="1"/>
  <c r="AA64" i="1" s="1"/>
  <c r="Y60" i="1"/>
  <c r="Z60" i="1" s="1"/>
  <c r="AA60" i="1" s="1"/>
  <c r="Y59" i="1"/>
  <c r="Z59" i="1" s="1"/>
  <c r="AA59" i="1" s="1"/>
  <c r="Y56" i="1"/>
  <c r="T51" i="1"/>
  <c r="U51" i="1" s="1"/>
  <c r="V51" i="1" s="1"/>
  <c r="T50" i="1"/>
  <c r="U50" i="1" s="1"/>
  <c r="V50" i="1" s="1"/>
  <c r="T47" i="1"/>
  <c r="U47" i="1" s="1"/>
  <c r="V47" i="1" s="1"/>
  <c r="T46" i="1"/>
  <c r="U46" i="1" s="1"/>
  <c r="V46" i="1" s="1"/>
  <c r="AD45" i="1"/>
  <c r="AE45" i="1" s="1"/>
  <c r="AF45" i="1" s="1"/>
  <c r="O45" i="1"/>
  <c r="Y44" i="1"/>
  <c r="Q34" i="7"/>
  <c r="Q35" i="7"/>
  <c r="U10" i="7"/>
  <c r="AG35" i="7"/>
  <c r="U11" i="7"/>
  <c r="AE36" i="7"/>
  <c r="AI11" i="7"/>
  <c r="AG37" i="7"/>
  <c r="Q38" i="7"/>
  <c r="U13" i="7"/>
  <c r="AG14" i="7"/>
  <c r="AE22" i="7"/>
  <c r="AJ20" i="7"/>
  <c r="V29" i="7"/>
  <c r="C71" i="7"/>
  <c r="I71" i="7"/>
  <c r="G54" i="7"/>
  <c r="G75" i="7"/>
  <c r="C79" i="7"/>
  <c r="AJ27" i="7"/>
  <c r="AJ29" i="7"/>
  <c r="AL71" i="7"/>
  <c r="E71" i="7"/>
  <c r="G70" i="7"/>
  <c r="S79" i="7"/>
  <c r="AK79" i="7" a="1"/>
  <c r="AK79" i="7" s="1"/>
  <c r="AL111" i="7"/>
  <c r="AI28" i="7"/>
  <c r="X111" i="7"/>
  <c r="S111" i="7"/>
  <c r="AG119" i="7"/>
  <c r="C119" i="7"/>
  <c r="G116" i="7"/>
  <c r="I119" i="7"/>
  <c r="O75" i="7"/>
  <c r="E79" i="7"/>
  <c r="X79" i="7" a="1"/>
  <c r="X79" i="7" s="1"/>
  <c r="AH79" i="7"/>
  <c r="G94" i="7"/>
  <c r="C111" i="7"/>
  <c r="E111" i="7"/>
  <c r="S119" i="7"/>
  <c r="T111" i="7"/>
  <c r="N47" i="6"/>
  <c r="I8" i="8" s="1"/>
  <c r="AD47" i="6"/>
  <c r="AG47" i="6" s="1"/>
  <c r="AJ47" i="6" s="1"/>
  <c r="AT47" i="6"/>
  <c r="AW47" i="6" s="1"/>
  <c r="AZ47" i="6" s="1"/>
  <c r="N48" i="6"/>
  <c r="I9" i="8" s="1"/>
  <c r="AD48" i="6"/>
  <c r="AG48" i="6" s="1"/>
  <c r="AJ48" i="6" s="1"/>
  <c r="N49" i="6"/>
  <c r="I10" i="8" s="1"/>
  <c r="Q10" i="8" s="1"/>
  <c r="AD49" i="6"/>
  <c r="AG49" i="6" s="1"/>
  <c r="AJ49" i="6" s="1"/>
  <c r="AT49" i="6"/>
  <c r="AW49" i="6" s="1"/>
  <c r="AZ49" i="6" s="1"/>
  <c r="N51" i="6"/>
  <c r="I12" i="8" s="1"/>
  <c r="AT51" i="6"/>
  <c r="AW51" i="6" s="1"/>
  <c r="AZ51" i="6" s="1"/>
  <c r="N53" i="6"/>
  <c r="I14" i="8" s="1"/>
  <c r="Q14" i="8" s="1"/>
  <c r="AT53" i="6"/>
  <c r="AW53" i="6" s="1"/>
  <c r="AZ53" i="6" s="1"/>
  <c r="F55" i="6"/>
  <c r="I55" i="6" s="1"/>
  <c r="L55" i="6" s="1"/>
  <c r="V55" i="6"/>
  <c r="Y55" i="6" s="1"/>
  <c r="AB55" i="6" s="1"/>
  <c r="AL55" i="6"/>
  <c r="AO55" i="6" s="1"/>
  <c r="AR55" i="6" s="1"/>
  <c r="F57" i="6"/>
  <c r="I57" i="6" s="1"/>
  <c r="L57" i="6" s="1"/>
  <c r="V57" i="6"/>
  <c r="Y57" i="6" s="1"/>
  <c r="AB57" i="6" s="1"/>
  <c r="AL57" i="6"/>
  <c r="AO57" i="6" s="1"/>
  <c r="AR57" i="6" s="1"/>
  <c r="F59" i="6"/>
  <c r="I59" i="6" s="1"/>
  <c r="L59" i="6" s="1"/>
  <c r="V59" i="6"/>
  <c r="Y59" i="6" s="1"/>
  <c r="AB59" i="6" s="1"/>
  <c r="F63" i="6"/>
  <c r="I63" i="6" s="1"/>
  <c r="L63" i="6" s="1"/>
  <c r="V63" i="6"/>
  <c r="Y63" i="6" s="1"/>
  <c r="AB63" i="6" s="1"/>
  <c r="AL63" i="6"/>
  <c r="AO63" i="6" s="1"/>
  <c r="AR63" i="6" s="1"/>
  <c r="F64" i="6"/>
  <c r="I64" i="6" s="1"/>
  <c r="L64" i="6" s="1"/>
  <c r="V64" i="6"/>
  <c r="Y64" i="6" s="1"/>
  <c r="AB64" i="6" s="1"/>
  <c r="AL64" i="6"/>
  <c r="AO64" i="6" s="1"/>
  <c r="AR64" i="6" s="1"/>
  <c r="F65" i="6"/>
  <c r="I65" i="6" s="1"/>
  <c r="L65" i="6" s="1"/>
  <c r="V65" i="6"/>
  <c r="Y65" i="6" s="1"/>
  <c r="AB65" i="6" s="1"/>
  <c r="AL65" i="6"/>
  <c r="AO65" i="6" s="1"/>
  <c r="AR65" i="6" s="1"/>
  <c r="F66" i="6"/>
  <c r="I66" i="6" s="1"/>
  <c r="L66" i="6" s="1"/>
  <c r="V66" i="6"/>
  <c r="Y66" i="6" s="1"/>
  <c r="AB66" i="6" s="1"/>
  <c r="AL66" i="6"/>
  <c r="AO66" i="6" s="1"/>
  <c r="AR66" i="6" s="1"/>
  <c r="F67" i="6"/>
  <c r="I67" i="6" s="1"/>
  <c r="L67" i="6" s="1"/>
  <c r="V67" i="6"/>
  <c r="Y67" i="6" s="1"/>
  <c r="AB67" i="6" s="1"/>
  <c r="AL67" i="6"/>
  <c r="AO67" i="6" s="1"/>
  <c r="AR67" i="6" s="1"/>
  <c r="F68" i="6"/>
  <c r="I68" i="6" s="1"/>
  <c r="L68" i="6" s="1"/>
  <c r="V68" i="6"/>
  <c r="Y68" i="6" s="1"/>
  <c r="AB68" i="6" s="1"/>
  <c r="AL68" i="6"/>
  <c r="AO68" i="6" s="1"/>
  <c r="AR68" i="6" s="1"/>
  <c r="F69" i="6"/>
  <c r="I69" i="6" s="1"/>
  <c r="L69" i="6" s="1"/>
  <c r="V69" i="6"/>
  <c r="Y69" i="6" s="1"/>
  <c r="AB69" i="6" s="1"/>
  <c r="AL69" i="6"/>
  <c r="AO69" i="6" s="1"/>
  <c r="AR69" i="6" s="1"/>
  <c r="Z64" i="4"/>
  <c r="Z69" i="4"/>
  <c r="N55" i="6"/>
  <c r="I16" i="8" s="1"/>
  <c r="Q16" i="8" s="1"/>
  <c r="AT55" i="6"/>
  <c r="AW55" i="6" s="1"/>
  <c r="AZ55" i="6" s="1"/>
  <c r="T63" i="1"/>
  <c r="U63" i="1" s="1"/>
  <c r="V63" i="1" s="1"/>
  <c r="O62" i="1"/>
  <c r="P62" i="1" s="1"/>
  <c r="Q62" i="1" s="1"/>
  <c r="AD51" i="6"/>
  <c r="AG51" i="6" s="1"/>
  <c r="AJ51" i="6" s="1"/>
  <c r="AD53" i="6"/>
  <c r="AG53" i="6" s="1"/>
  <c r="AJ53" i="6" s="1"/>
  <c r="Y63" i="1"/>
  <c r="Z63" i="1" s="1"/>
  <c r="AA63" i="1" s="1"/>
  <c r="T62" i="1"/>
  <c r="U62" i="1" s="1"/>
  <c r="V62" i="1" s="1"/>
  <c r="Y55" i="1"/>
  <c r="J54" i="6"/>
  <c r="K54" i="6" s="1"/>
  <c r="G54" i="6"/>
  <c r="R54" i="6"/>
  <c r="S54" i="6" s="1"/>
  <c r="O54" i="6"/>
  <c r="AP54" i="6"/>
  <c r="AQ54" i="6" s="1"/>
  <c r="AM54" i="6"/>
  <c r="AQ31" i="6"/>
  <c r="AX54" i="6"/>
  <c r="AY54" i="6" s="1"/>
  <c r="AU54" i="6"/>
  <c r="H54" i="6"/>
  <c r="AD31" i="6"/>
  <c r="AC62" i="6"/>
  <c r="AX62" i="6"/>
  <c r="AY62" i="6" s="1"/>
  <c r="AM62" i="6"/>
  <c r="O70" i="6"/>
  <c r="AV70" i="6"/>
  <c r="AN70" i="6"/>
  <c r="AP70" i="6"/>
  <c r="AQ70" i="6" s="1"/>
  <c r="AM70" i="6"/>
  <c r="AF62" i="6"/>
  <c r="X62" i="6"/>
  <c r="W62" i="6"/>
  <c r="Z62" i="6"/>
  <c r="AA62" i="6" s="1"/>
  <c r="P31" i="6"/>
  <c r="AR31" i="6"/>
  <c r="F31" i="6"/>
  <c r="AN54" i="6"/>
  <c r="F48" i="6"/>
  <c r="I48" i="6" s="1"/>
  <c r="L48" i="6" s="1"/>
  <c r="V48" i="6"/>
  <c r="Y48" i="6" s="1"/>
  <c r="AB48" i="6" s="1"/>
  <c r="AL48" i="6"/>
  <c r="AO48" i="6" s="1"/>
  <c r="AR48" i="6" s="1"/>
  <c r="F50" i="6"/>
  <c r="I50" i="6" s="1"/>
  <c r="L50" i="6" s="1"/>
  <c r="V50" i="6"/>
  <c r="Y50" i="6" s="1"/>
  <c r="AB50" i="6" s="1"/>
  <c r="AL50" i="6"/>
  <c r="AO50" i="6" s="1"/>
  <c r="AR50" i="6" s="1"/>
  <c r="F52" i="6"/>
  <c r="I52" i="6" s="1"/>
  <c r="L52" i="6" s="1"/>
  <c r="V52" i="6"/>
  <c r="Y52" i="6" s="1"/>
  <c r="AB52" i="6" s="1"/>
  <c r="AL52" i="6"/>
  <c r="AO52" i="6" s="1"/>
  <c r="AR52" i="6" s="1"/>
  <c r="W31" i="6"/>
  <c r="Z54" i="6"/>
  <c r="AA54" i="6" s="1"/>
  <c r="F56" i="6"/>
  <c r="I56" i="6" s="1"/>
  <c r="L56" i="6" s="1"/>
  <c r="V56" i="6"/>
  <c r="Y56" i="6" s="1"/>
  <c r="AB56" i="6" s="1"/>
  <c r="AL56" i="6"/>
  <c r="AO56" i="6" s="1"/>
  <c r="AR56" i="6" s="1"/>
  <c r="F58" i="6"/>
  <c r="I58" i="6" s="1"/>
  <c r="L58" i="6" s="1"/>
  <c r="V58" i="6"/>
  <c r="Y58" i="6" s="1"/>
  <c r="AB58" i="6" s="1"/>
  <c r="AL58" i="6"/>
  <c r="AO58" i="6" s="1"/>
  <c r="AR58" i="6" s="1"/>
  <c r="AL59" i="6"/>
  <c r="AO59" i="6" s="1"/>
  <c r="AR59" i="6" s="1"/>
  <c r="F60" i="6"/>
  <c r="I60" i="6" s="1"/>
  <c r="L60" i="6" s="1"/>
  <c r="V60" i="6"/>
  <c r="Y60" i="6" s="1"/>
  <c r="AB60" i="6" s="1"/>
  <c r="AL60" i="6"/>
  <c r="AO60" i="6" s="1"/>
  <c r="AR60" i="6" s="1"/>
  <c r="F61" i="6"/>
  <c r="I61" i="6" s="1"/>
  <c r="L61" i="6" s="1"/>
  <c r="V61" i="6"/>
  <c r="Y61" i="6" s="1"/>
  <c r="AB61" i="6" s="1"/>
  <c r="AL61" i="6"/>
  <c r="AO61" i="6" s="1"/>
  <c r="AR61" i="6" s="1"/>
  <c r="P62" i="6"/>
  <c r="H62" i="6"/>
  <c r="G62" i="6"/>
  <c r="J62" i="6"/>
  <c r="K62" i="6" s="1"/>
  <c r="O62" i="6"/>
  <c r="AE62" i="6"/>
  <c r="AK62" i="6"/>
  <c r="AS62" i="6"/>
  <c r="AF70" i="6"/>
  <c r="X70" i="6"/>
  <c r="Z70" i="6"/>
  <c r="AA70" i="6" s="1"/>
  <c r="W70" i="6"/>
  <c r="AX70" i="6"/>
  <c r="AY70" i="6" s="1"/>
  <c r="P72" i="6"/>
  <c r="H72" i="6"/>
  <c r="I39" i="6" a="1"/>
  <c r="I39" i="6" s="1"/>
  <c r="J72" i="6"/>
  <c r="K72" i="6" s="1"/>
  <c r="G72" i="6"/>
  <c r="R72" i="6"/>
  <c r="S72" i="6" s="1"/>
  <c r="O72" i="6"/>
  <c r="AV72" i="6"/>
  <c r="AN72" i="6"/>
  <c r="AK39" i="6" a="1"/>
  <c r="AK39" i="6" s="1"/>
  <c r="AP72" i="6"/>
  <c r="AQ72" i="6" s="1"/>
  <c r="AM72" i="6"/>
  <c r="AX72" i="6"/>
  <c r="AY72" i="6" s="1"/>
  <c r="AU72" i="6"/>
  <c r="AF73" i="6"/>
  <c r="X73" i="6"/>
  <c r="W73" i="6"/>
  <c r="Z73" i="6"/>
  <c r="AA73" i="6" s="1"/>
  <c r="AE73" i="6"/>
  <c r="AH73" i="6"/>
  <c r="AI73" i="6" s="1"/>
  <c r="P74" i="6"/>
  <c r="H74" i="6"/>
  <c r="J74" i="6"/>
  <c r="K74" i="6" s="1"/>
  <c r="G74" i="6"/>
  <c r="R74" i="6"/>
  <c r="S74" i="6" s="1"/>
  <c r="O74" i="6"/>
  <c r="AV74" i="6"/>
  <c r="AN74" i="6"/>
  <c r="AP74" i="6"/>
  <c r="AQ74" i="6" s="1"/>
  <c r="AM74" i="6"/>
  <c r="AX74" i="6"/>
  <c r="AY74" i="6" s="1"/>
  <c r="AU74" i="6"/>
  <c r="AF75" i="6"/>
  <c r="X75" i="6"/>
  <c r="W75" i="6"/>
  <c r="Z75" i="6"/>
  <c r="AA75" i="6" s="1"/>
  <c r="AE75" i="6"/>
  <c r="AH75" i="6"/>
  <c r="AI75" i="6" s="1"/>
  <c r="P76" i="6"/>
  <c r="H76" i="6"/>
  <c r="J76" i="6"/>
  <c r="K76" i="6" s="1"/>
  <c r="G76" i="6"/>
  <c r="R76" i="6"/>
  <c r="S76" i="6" s="1"/>
  <c r="O76" i="6"/>
  <c r="AV76" i="6"/>
  <c r="AN76" i="6"/>
  <c r="AP76" i="6"/>
  <c r="AQ76" i="6" s="1"/>
  <c r="AM76" i="6"/>
  <c r="AX76" i="6"/>
  <c r="AY76" i="6" s="1"/>
  <c r="AU76" i="6"/>
  <c r="AF77" i="6"/>
  <c r="X77" i="6"/>
  <c r="W77" i="6"/>
  <c r="Z77" i="6"/>
  <c r="AA77" i="6" s="1"/>
  <c r="AE77" i="6"/>
  <c r="AH77" i="6"/>
  <c r="AI77" i="6" s="1"/>
  <c r="P78" i="6"/>
  <c r="H78" i="6"/>
  <c r="J78" i="6"/>
  <c r="K78" i="6" s="1"/>
  <c r="G78" i="6"/>
  <c r="R78" i="6"/>
  <c r="S78" i="6" s="1"/>
  <c r="O78" i="6"/>
  <c r="AV78" i="6"/>
  <c r="AN78" i="6"/>
  <c r="AP78" i="6"/>
  <c r="AQ78" i="6" s="1"/>
  <c r="AM78" i="6"/>
  <c r="AX78" i="6"/>
  <c r="AY78" i="6" s="1"/>
  <c r="AU78" i="6"/>
  <c r="AH62" i="6"/>
  <c r="AI62" i="6" s="1"/>
  <c r="AH54" i="6"/>
  <c r="AI54" i="6" s="1"/>
  <c r="P70" i="6"/>
  <c r="H70" i="6"/>
  <c r="J70" i="6"/>
  <c r="K70" i="6" s="1"/>
  <c r="G70" i="6"/>
  <c r="AK70" i="6"/>
  <c r="D39" i="6"/>
  <c r="J39" i="6" a="1"/>
  <c r="J39" i="6" s="1"/>
  <c r="P39" i="6" a="1"/>
  <c r="P39" i="6" s="1"/>
  <c r="AF39" i="6"/>
  <c r="AL39" i="6" a="1"/>
  <c r="AL39" i="6" s="1"/>
  <c r="AR39" i="6" a="1"/>
  <c r="AR39" i="6" s="1"/>
  <c r="AU79" i="6" s="1"/>
  <c r="R39" i="6"/>
  <c r="P54" i="6"/>
  <c r="AU70" i="6"/>
  <c r="AT48" i="6"/>
  <c r="AW48" i="6" s="1"/>
  <c r="AZ48" i="6" s="1"/>
  <c r="N50" i="6"/>
  <c r="I11" i="8" s="1"/>
  <c r="Q11" i="8" s="1"/>
  <c r="AD50" i="6"/>
  <c r="AG50" i="6" s="1"/>
  <c r="AJ50" i="6" s="1"/>
  <c r="AT50" i="6"/>
  <c r="AW50" i="6" s="1"/>
  <c r="AZ50" i="6" s="1"/>
  <c r="N52" i="6"/>
  <c r="I13" i="8" s="1"/>
  <c r="AD52" i="6"/>
  <c r="AG52" i="6" s="1"/>
  <c r="AJ52" i="6" s="1"/>
  <c r="AT52" i="6"/>
  <c r="AW52" i="6" s="1"/>
  <c r="AZ52" i="6" s="1"/>
  <c r="J31" i="6"/>
  <c r="AL31" i="6"/>
  <c r="N56" i="6"/>
  <c r="I17" i="8" s="1"/>
  <c r="Q17" i="8" s="1"/>
  <c r="AD56" i="6"/>
  <c r="AG56" i="6" s="1"/>
  <c r="AJ56" i="6" s="1"/>
  <c r="AT56" i="6"/>
  <c r="AW56" i="6" s="1"/>
  <c r="AZ56" i="6" s="1"/>
  <c r="N58" i="6"/>
  <c r="I19" i="8" s="1"/>
  <c r="Q19" i="8" s="1"/>
  <c r="AD58" i="6"/>
  <c r="AG58" i="6" s="1"/>
  <c r="AJ58" i="6" s="1"/>
  <c r="AT58" i="6"/>
  <c r="AW58" i="6" s="1"/>
  <c r="AZ58" i="6" s="1"/>
  <c r="AT59" i="6"/>
  <c r="AW59" i="6" s="1"/>
  <c r="AZ59" i="6" s="1"/>
  <c r="N60" i="6"/>
  <c r="I21" i="8" s="1"/>
  <c r="Q21" i="8" s="1"/>
  <c r="AD60" i="6"/>
  <c r="AG60" i="6" s="1"/>
  <c r="AJ60" i="6" s="1"/>
  <c r="AT60" i="6"/>
  <c r="AW60" i="6" s="1"/>
  <c r="AZ60" i="6" s="1"/>
  <c r="N61" i="6"/>
  <c r="I22" i="8" s="1"/>
  <c r="Q22" i="8" s="1"/>
  <c r="AD61" i="6"/>
  <c r="AG61" i="6" s="1"/>
  <c r="AJ61" i="6" s="1"/>
  <c r="AT61" i="6"/>
  <c r="AW61" i="6" s="1"/>
  <c r="AZ61" i="6" s="1"/>
  <c r="AV62" i="6"/>
  <c r="AN62" i="6"/>
  <c r="AP62" i="6"/>
  <c r="AQ62" i="6" s="1"/>
  <c r="AU62" i="6"/>
  <c r="O31" i="6"/>
  <c r="R70" i="6"/>
  <c r="S70" i="6" s="1"/>
  <c r="U70" i="6"/>
  <c r="AC70" i="6"/>
  <c r="AS70" i="6"/>
  <c r="U73" i="6"/>
  <c r="AC75" i="6"/>
  <c r="W54" i="6"/>
  <c r="R31" i="6"/>
  <c r="AH70" i="6"/>
  <c r="AI70" i="6" s="1"/>
  <c r="E72" i="6"/>
  <c r="K39" i="6"/>
  <c r="M72" i="6"/>
  <c r="AF72" i="6"/>
  <c r="X72" i="6"/>
  <c r="W39" i="6" a="1"/>
  <c r="W39" i="6" s="1"/>
  <c r="Z72" i="6"/>
  <c r="AA72" i="6" s="1"/>
  <c r="AC39" i="6" a="1"/>
  <c r="AC39" i="6" s="1"/>
  <c r="AH72" i="6"/>
  <c r="AI72" i="6" s="1"/>
  <c r="AK72" i="6"/>
  <c r="AM39" i="6"/>
  <c r="AS72" i="6"/>
  <c r="H73" i="6"/>
  <c r="P73" i="6"/>
  <c r="G73" i="6"/>
  <c r="J73" i="6"/>
  <c r="K73" i="6" s="1"/>
  <c r="O39" i="6" a="1"/>
  <c r="O39" i="6" s="1"/>
  <c r="O73" i="6"/>
  <c r="R73" i="6"/>
  <c r="S73" i="6" s="1"/>
  <c r="AC73" i="6"/>
  <c r="AE39" i="6"/>
  <c r="AV73" i="6"/>
  <c r="AN73" i="6"/>
  <c r="AM73" i="6"/>
  <c r="AP73" i="6"/>
  <c r="AQ73" i="6" s="1"/>
  <c r="AU73" i="6"/>
  <c r="AX73" i="6"/>
  <c r="AY73" i="6" s="1"/>
  <c r="E74" i="6"/>
  <c r="M74" i="6"/>
  <c r="AF74" i="6"/>
  <c r="X74" i="6"/>
  <c r="Z74" i="6"/>
  <c r="AA74" i="6" s="1"/>
  <c r="W74" i="6"/>
  <c r="AH74" i="6"/>
  <c r="AI74" i="6" s="1"/>
  <c r="AK74" i="6"/>
  <c r="AS74" i="6"/>
  <c r="C39" i="6"/>
  <c r="P75" i="6"/>
  <c r="H75" i="6"/>
  <c r="G75" i="6"/>
  <c r="J75" i="6"/>
  <c r="K75" i="6" s="1"/>
  <c r="O75" i="6"/>
  <c r="R75" i="6"/>
  <c r="S75" i="6" s="1"/>
  <c r="U75" i="6"/>
  <c r="AV75" i="6"/>
  <c r="AN75" i="6"/>
  <c r="AM75" i="6"/>
  <c r="AP75" i="6"/>
  <c r="AQ75" i="6" s="1"/>
  <c r="AU75" i="6"/>
  <c r="AX75" i="6"/>
  <c r="AY75" i="6" s="1"/>
  <c r="E76" i="6"/>
  <c r="M76" i="6"/>
  <c r="AF76" i="6"/>
  <c r="X76" i="6"/>
  <c r="Z76" i="6"/>
  <c r="AA76" i="6" s="1"/>
  <c r="W76" i="6"/>
  <c r="AH76" i="6"/>
  <c r="AI76" i="6" s="1"/>
  <c r="AE76" i="6"/>
  <c r="AK76" i="6"/>
  <c r="AS76" i="6"/>
  <c r="P77" i="6"/>
  <c r="H77" i="6"/>
  <c r="G77" i="6"/>
  <c r="J77" i="6"/>
  <c r="K77" i="6" s="1"/>
  <c r="O77" i="6"/>
  <c r="R77" i="6"/>
  <c r="S77" i="6" s="1"/>
  <c r="U77" i="6"/>
  <c r="AC77" i="6"/>
  <c r="AV77" i="6"/>
  <c r="AN77" i="6"/>
  <c r="AM77" i="6"/>
  <c r="AP77" i="6"/>
  <c r="AQ77" i="6" s="1"/>
  <c r="AU77" i="6"/>
  <c r="AX77" i="6"/>
  <c r="AY77" i="6" s="1"/>
  <c r="E78" i="6"/>
  <c r="M78" i="6"/>
  <c r="AF78" i="6"/>
  <c r="X78" i="6"/>
  <c r="Z78" i="6"/>
  <c r="AA78" i="6" s="1"/>
  <c r="W78" i="6"/>
  <c r="AH78" i="6"/>
  <c r="AI78" i="6" s="1"/>
  <c r="AE78" i="6"/>
  <c r="AK78" i="6"/>
  <c r="AS78" i="6"/>
  <c r="R62" i="6"/>
  <c r="S62" i="6" s="1"/>
  <c r="AE72" i="6"/>
  <c r="AE74" i="6"/>
  <c r="W72" i="6"/>
  <c r="T31" i="6"/>
  <c r="Z31" i="6"/>
  <c r="X31" i="6"/>
  <c r="K31" i="6"/>
  <c r="AM31" i="6"/>
  <c r="S31" i="6"/>
  <c r="L39" i="6"/>
  <c r="Q39" i="6"/>
  <c r="Z39" i="6"/>
  <c r="AN39" i="6"/>
  <c r="Z58" i="4"/>
  <c r="Y31" i="6"/>
  <c r="AG31" i="6"/>
  <c r="E31" i="6"/>
  <c r="Q31" i="6"/>
  <c r="T39" i="6"/>
  <c r="AH39" i="6"/>
  <c r="Z66" i="4"/>
  <c r="I31" i="6"/>
  <c r="H71" i="6" s="1"/>
  <c r="AC31" i="6"/>
  <c r="AK31" i="6"/>
  <c r="AN31" i="6"/>
  <c r="L31" i="6"/>
  <c r="AF31" i="6"/>
  <c r="AH31" i="6"/>
  <c r="E39" i="6"/>
  <c r="E79" i="6" s="1"/>
  <c r="AG39" i="6"/>
  <c r="S39" i="6"/>
  <c r="Y39" i="6"/>
  <c r="AC79" i="6" s="1"/>
  <c r="AD31" i="5"/>
  <c r="K62" i="5"/>
  <c r="AI62" i="5"/>
  <c r="Q31" i="5"/>
  <c r="C39" i="5"/>
  <c r="I39" i="5" a="1"/>
  <c r="I39" i="5" s="1"/>
  <c r="K72" i="5"/>
  <c r="O39" i="5" a="1"/>
  <c r="O39" i="5" s="1"/>
  <c r="Y39" i="5"/>
  <c r="AE39" i="5"/>
  <c r="AQ39" i="5" a="1"/>
  <c r="AQ39" i="5" s="1"/>
  <c r="Q39" i="5"/>
  <c r="AA73" i="5"/>
  <c r="AI73" i="5"/>
  <c r="AG39" i="5"/>
  <c r="AQ74" i="5"/>
  <c r="AY74" i="5"/>
  <c r="AI75" i="5"/>
  <c r="S76" i="5"/>
  <c r="AQ76" i="5"/>
  <c r="AY76" i="5"/>
  <c r="K78" i="5"/>
  <c r="AY78" i="5"/>
  <c r="X31" i="5"/>
  <c r="S62" i="5"/>
  <c r="K70" i="5"/>
  <c r="D39" i="5"/>
  <c r="AE31" i="5"/>
  <c r="AK31" i="5"/>
  <c r="R31" i="5"/>
  <c r="AY70" i="5"/>
  <c r="Y31" i="5"/>
  <c r="AF31" i="5"/>
  <c r="AY54" i="5"/>
  <c r="W39" i="5" a="1"/>
  <c r="W39" i="5" s="1"/>
  <c r="AC39" i="5" a="1"/>
  <c r="AC39" i="5" s="1"/>
  <c r="S73" i="5"/>
  <c r="AK39" i="5" a="1"/>
  <c r="AK39" i="5" s="1"/>
  <c r="K75" i="5"/>
  <c r="S75" i="5"/>
  <c r="AQ75" i="5"/>
  <c r="AI78" i="5"/>
  <c r="I31" i="5"/>
  <c r="AA54" i="5"/>
  <c r="AQ70" i="5"/>
  <c r="AG31" i="5"/>
  <c r="X39" i="5" a="1"/>
  <c r="X39" i="5" s="1"/>
  <c r="AM39" i="5"/>
  <c r="AA62" i="5"/>
  <c r="S31" i="5"/>
  <c r="AL31" i="5"/>
  <c r="S39" i="5"/>
  <c r="E39" i="5"/>
  <c r="W31" i="5"/>
  <c r="AC31" i="5"/>
  <c r="AR31" i="5"/>
  <c r="E31" i="5"/>
  <c r="T31" i="5"/>
  <c r="AH31" i="5"/>
  <c r="T39" i="5"/>
  <c r="AH39" i="5"/>
  <c r="Z55" i="4"/>
  <c r="Z57" i="4"/>
  <c r="Z60" i="4"/>
  <c r="Z61" i="4"/>
  <c r="C31" i="5"/>
  <c r="K39" i="5"/>
  <c r="O31" i="5"/>
  <c r="AM31" i="5"/>
  <c r="AQ31" i="5"/>
  <c r="D31" i="5"/>
  <c r="K31" i="5"/>
  <c r="F31" i="5"/>
  <c r="F39" i="5"/>
  <c r="L39" i="5"/>
  <c r="C39" i="4"/>
  <c r="M14" i="4"/>
  <c r="Q54" i="4"/>
  <c r="T54" i="4"/>
  <c r="U54" i="4" s="1"/>
  <c r="AB54" i="4"/>
  <c r="AD54" i="4"/>
  <c r="AE54" i="4" s="1"/>
  <c r="AG54" i="4"/>
  <c r="AJ54" i="4"/>
  <c r="AR54" i="4"/>
  <c r="I39" i="4" a="1"/>
  <c r="I39" i="4" s="1"/>
  <c r="AD72" i="4"/>
  <c r="AE72" i="4" s="1"/>
  <c r="AC39" i="4" a="1"/>
  <c r="AC39" i="4" s="1"/>
  <c r="AA72" i="4"/>
  <c r="AD73" i="4"/>
  <c r="AE73" i="4" s="1"/>
  <c r="AA73" i="4"/>
  <c r="V30" i="4"/>
  <c r="R31" i="4"/>
  <c r="Y31" i="4"/>
  <c r="Y70" i="4"/>
  <c r="AI70" i="4"/>
  <c r="AL70" i="4"/>
  <c r="AM70" i="4" s="1"/>
  <c r="AT70" i="4"/>
  <c r="AU70" i="4" s="1"/>
  <c r="AQ70" i="4"/>
  <c r="Q75" i="4"/>
  <c r="AD75" i="4"/>
  <c r="AE75" i="4" s="1"/>
  <c r="AB75" i="4"/>
  <c r="AC75" i="4" s="1"/>
  <c r="AI75" i="4"/>
  <c r="AJ75" i="4"/>
  <c r="AL75" i="4"/>
  <c r="AM75" i="4" s="1"/>
  <c r="R39" i="4"/>
  <c r="T75" i="4"/>
  <c r="U75" i="4" s="1"/>
  <c r="X75" i="4" s="1"/>
  <c r="AL74" i="4"/>
  <c r="AM74" i="4" s="1"/>
  <c r="AQ54" i="4"/>
  <c r="AT54" i="4"/>
  <c r="AU54" i="4" s="1"/>
  <c r="S39" i="4"/>
  <c r="Q62" i="4"/>
  <c r="AB62" i="4"/>
  <c r="T62" i="4"/>
  <c r="AL62" i="4"/>
  <c r="AM62" i="4" s="1"/>
  <c r="AI62" i="4"/>
  <c r="AN66" i="4"/>
  <c r="AA78" i="4"/>
  <c r="AD78" i="4"/>
  <c r="AE78" i="4" s="1"/>
  <c r="Z49" i="4"/>
  <c r="AP49" i="4"/>
  <c r="AS49" i="4" s="1"/>
  <c r="AV49" i="4" s="1"/>
  <c r="Z50" i="4"/>
  <c r="Z51" i="4"/>
  <c r="Y54" i="4"/>
  <c r="AQ31" i="4"/>
  <c r="AQ62" i="4"/>
  <c r="AT62" i="4"/>
  <c r="AU62" i="4" s="1"/>
  <c r="C31" i="4"/>
  <c r="AG31" i="4"/>
  <c r="K39" i="4"/>
  <c r="Q72" i="4"/>
  <c r="T72" i="4"/>
  <c r="AB72" i="4"/>
  <c r="Z39" i="4"/>
  <c r="Y72" i="4"/>
  <c r="AJ72" i="4"/>
  <c r="AG72" i="4"/>
  <c r="AR72" i="4"/>
  <c r="AM39" i="4"/>
  <c r="AO72" i="4"/>
  <c r="M33" i="4"/>
  <c r="Q73" i="4"/>
  <c r="T73" i="4"/>
  <c r="AI33" i="4"/>
  <c r="AH73" i="4" s="1"/>
  <c r="AK73" i="4" s="1"/>
  <c r="AG73" i="4"/>
  <c r="AT73" i="4"/>
  <c r="AU73" i="4" s="1"/>
  <c r="AL73" i="4"/>
  <c r="AM73" i="4" s="1"/>
  <c r="AJ73" i="4"/>
  <c r="AO73" i="4"/>
  <c r="AT76" i="4"/>
  <c r="AU76" i="4" s="1"/>
  <c r="AQ76" i="4"/>
  <c r="AR73" i="4"/>
  <c r="AB73" i="4"/>
  <c r="X66" i="4"/>
  <c r="W66" i="4"/>
  <c r="U67" i="4"/>
  <c r="X67" i="4" s="1"/>
  <c r="X64" i="4"/>
  <c r="AD62" i="4"/>
  <c r="AE62" i="4" s="1"/>
  <c r="Z67" i="4"/>
  <c r="AC31" i="4"/>
  <c r="AD70" i="4"/>
  <c r="AE70" i="4" s="1"/>
  <c r="AF31" i="4"/>
  <c r="G32" i="4"/>
  <c r="U32" i="4"/>
  <c r="R72" i="4" s="1"/>
  <c r="W39" i="4" a="1"/>
  <c r="W39" i="4" s="1"/>
  <c r="V72" i="4"/>
  <c r="W72" i="4" s="1"/>
  <c r="AO32" i="4"/>
  <c r="AL72" i="4"/>
  <c r="AM72" i="4" s="1"/>
  <c r="AT72" i="4"/>
  <c r="AU72" i="4" s="1"/>
  <c r="U33" i="4"/>
  <c r="AO33" i="4"/>
  <c r="AP73" i="4" s="1"/>
  <c r="AS73" i="4" s="1"/>
  <c r="G34" i="4"/>
  <c r="V34" i="4"/>
  <c r="AD39" i="4" a="1"/>
  <c r="AD39" i="4" s="1"/>
  <c r="AJ34" i="4"/>
  <c r="AD76" i="4"/>
  <c r="AE76" i="4" s="1"/>
  <c r="V37" i="4"/>
  <c r="AJ37" i="4"/>
  <c r="AP38" i="4"/>
  <c r="AK39" i="4" a="1"/>
  <c r="AK39" i="4" s="1"/>
  <c r="AD77" i="4"/>
  <c r="AE77" i="4" s="1"/>
  <c r="AJ76" i="4"/>
  <c r="AQ72" i="4"/>
  <c r="T74" i="4"/>
  <c r="U74" i="4" s="1"/>
  <c r="X74" i="4" s="1"/>
  <c r="AB74" i="4"/>
  <c r="AI34" i="4"/>
  <c r="AJ74" i="4"/>
  <c r="AR74" i="4"/>
  <c r="Z47" i="4"/>
  <c r="Z48" i="4"/>
  <c r="AP48" i="4"/>
  <c r="AS48" i="4" s="1"/>
  <c r="AV48" i="4" s="1"/>
  <c r="Z52" i="4"/>
  <c r="AP52" i="4"/>
  <c r="AS52" i="4" s="1"/>
  <c r="AV52" i="4" s="1"/>
  <c r="Z53" i="4"/>
  <c r="AP53" i="4"/>
  <c r="AS53" i="4" s="1"/>
  <c r="AV53" i="4" s="1"/>
  <c r="Q39" i="4"/>
  <c r="V54" i="4"/>
  <c r="W54" i="4" s="1"/>
  <c r="X31" i="4"/>
  <c r="S54" i="4"/>
  <c r="AE39" i="4"/>
  <c r="AK31" i="4"/>
  <c r="AI54" i="4"/>
  <c r="AL54" i="4"/>
  <c r="AM54" i="4" s="1"/>
  <c r="AH55" i="4"/>
  <c r="AK55" i="4" s="1"/>
  <c r="AN55" i="4" s="1"/>
  <c r="Z56" i="4"/>
  <c r="AP56" i="4"/>
  <c r="AS56" i="4" s="1"/>
  <c r="AV56" i="4" s="1"/>
  <c r="R57" i="4"/>
  <c r="AH57" i="4"/>
  <c r="AK57" i="4" s="1"/>
  <c r="AN57" i="4" s="1"/>
  <c r="Z59" i="4"/>
  <c r="AP59" i="4"/>
  <c r="AS59" i="4" s="1"/>
  <c r="AV59" i="4" s="1"/>
  <c r="R60" i="4"/>
  <c r="U60" i="4" s="1"/>
  <c r="X60" i="4" s="1"/>
  <c r="AH60" i="4"/>
  <c r="AK60" i="4" s="1"/>
  <c r="AN60" i="4" s="1"/>
  <c r="AH61" i="4"/>
  <c r="AK61" i="4" s="1"/>
  <c r="AN61" i="4" s="1"/>
  <c r="I31" i="4" a="1"/>
  <c r="I31" i="4" s="1"/>
  <c r="V22" i="4"/>
  <c r="AO62" i="4"/>
  <c r="Z63" i="4"/>
  <c r="AP64" i="4"/>
  <c r="AS64" i="4" s="1"/>
  <c r="AV64" i="4" s="1"/>
  <c r="Z65" i="4"/>
  <c r="Z68" i="4"/>
  <c r="AP69" i="4"/>
  <c r="AS69" i="4" s="1"/>
  <c r="AV69" i="4" s="1"/>
  <c r="AI30" i="4"/>
  <c r="AJ70" i="4"/>
  <c r="AR70" i="4"/>
  <c r="AM31" i="4"/>
  <c r="AO70" i="4"/>
  <c r="Q31" i="4"/>
  <c r="Y73" i="4"/>
  <c r="AO34" i="4"/>
  <c r="AP74" i="4" s="1"/>
  <c r="AS74" i="4" s="1"/>
  <c r="AV74" i="4" s="1"/>
  <c r="AQ75" i="4"/>
  <c r="U36" i="4"/>
  <c r="R76" i="4" s="1"/>
  <c r="V76" i="4"/>
  <c r="W76" i="4" s="1"/>
  <c r="AO36" i="4"/>
  <c r="AL76" i="4"/>
  <c r="AM76" i="4" s="1"/>
  <c r="AG77" i="4"/>
  <c r="AO77" i="4"/>
  <c r="M38" i="4"/>
  <c r="T78" i="4"/>
  <c r="U78" i="4" s="1"/>
  <c r="X78" i="4" s="1"/>
  <c r="AB78" i="4"/>
  <c r="AJ78" i="4"/>
  <c r="AR78" i="4"/>
  <c r="AL78" i="4"/>
  <c r="AM78" i="4" s="1"/>
  <c r="AG78" i="4"/>
  <c r="Q78" i="4"/>
  <c r="AR77" i="4"/>
  <c r="AI76" i="4"/>
  <c r="S76" i="4"/>
  <c r="AT75" i="4"/>
  <c r="AU75" i="4" s="1"/>
  <c r="V70" i="4"/>
  <c r="W70" i="4" s="1"/>
  <c r="AH49" i="4"/>
  <c r="AK49" i="4" s="1"/>
  <c r="AN49" i="4" s="1"/>
  <c r="E39" i="4"/>
  <c r="O31" i="4"/>
  <c r="T39" i="4"/>
  <c r="AD31" i="4"/>
  <c r="AA54" i="4"/>
  <c r="AJ14" i="4"/>
  <c r="AR31" i="4"/>
  <c r="U22" i="4"/>
  <c r="W31" i="4"/>
  <c r="AG62" i="4"/>
  <c r="AR62" i="4"/>
  <c r="AP65" i="4"/>
  <c r="AS65" i="4" s="1"/>
  <c r="AV65" i="4" s="1"/>
  <c r="AP68" i="4"/>
  <c r="AS68" i="4" s="1"/>
  <c r="AV68" i="4" s="1"/>
  <c r="S31" i="4"/>
  <c r="T70" i="4"/>
  <c r="AB70" i="4"/>
  <c r="Z31" i="4"/>
  <c r="AN31" i="4"/>
  <c r="AP32" i="4"/>
  <c r="AR39" i="4" a="1"/>
  <c r="AR39" i="4" s="1"/>
  <c r="V33" i="4"/>
  <c r="AQ39" i="4" a="1"/>
  <c r="AQ39" i="4" s="1"/>
  <c r="X39" i="4" a="1"/>
  <c r="X39" i="4" s="1"/>
  <c r="U35" i="4"/>
  <c r="R75" i="4" s="1"/>
  <c r="AI35" i="4"/>
  <c r="AH75" i="4" s="1"/>
  <c r="AK75" i="4" s="1"/>
  <c r="G36" i="4"/>
  <c r="AJ36" i="4"/>
  <c r="AH76" i="4" s="1"/>
  <c r="AK76" i="4" s="1"/>
  <c r="AN76" i="4" s="1"/>
  <c r="AO37" i="4"/>
  <c r="U38" i="4"/>
  <c r="R78" i="4" s="1"/>
  <c r="AO38" i="4"/>
  <c r="AJ62" i="4"/>
  <c r="V62" i="4"/>
  <c r="W62" i="4" s="1"/>
  <c r="AF58" i="4"/>
  <c r="X55" i="4"/>
  <c r="X51" i="4"/>
  <c r="AF50" i="4"/>
  <c r="X47" i="4"/>
  <c r="M22" i="4"/>
  <c r="M30" i="4"/>
  <c r="AJ30" i="4"/>
  <c r="Y39" i="4"/>
  <c r="G14" i="4"/>
  <c r="AI14" i="4"/>
  <c r="AH54" i="4" s="1"/>
  <c r="AK54" i="4" s="1"/>
  <c r="G22" i="4"/>
  <c r="G30" i="4"/>
  <c r="AH31" i="4"/>
  <c r="AJ31" i="4" s="1"/>
  <c r="AP37" i="4"/>
  <c r="AI38" i="4"/>
  <c r="AG39" i="4"/>
  <c r="AO14" i="4"/>
  <c r="AP54" i="4" s="1"/>
  <c r="AS54" i="4" s="1"/>
  <c r="AP22" i="4"/>
  <c r="AP62" i="4" s="1"/>
  <c r="AS62" i="4" s="1"/>
  <c r="AV62" i="4" s="1"/>
  <c r="AO30" i="4"/>
  <c r="E31" i="4"/>
  <c r="AE31" i="4"/>
  <c r="AL39" i="4" a="1"/>
  <c r="AL39" i="4" s="1"/>
  <c r="G35" i="4"/>
  <c r="AO35" i="4"/>
  <c r="AP75" i="4" s="1"/>
  <c r="AS75" i="4" s="1"/>
  <c r="AI37" i="4"/>
  <c r="AH39" i="4"/>
  <c r="AI22" i="4"/>
  <c r="AH62" i="4" s="1"/>
  <c r="AK62" i="4" s="1"/>
  <c r="AI32" i="4"/>
  <c r="AJ32" i="4"/>
  <c r="U39" i="4"/>
  <c r="U14" i="4"/>
  <c r="R54" i="4" s="1"/>
  <c r="AF39" i="4"/>
  <c r="AP39" i="4" s="1"/>
  <c r="T31" i="4"/>
  <c r="AP30" i="4"/>
  <c r="K31" i="4"/>
  <c r="M32" i="4"/>
  <c r="U34" i="4"/>
  <c r="U37" i="4"/>
  <c r="R77" i="4" s="1"/>
  <c r="U77" i="4" s="1"/>
  <c r="X77" i="4" s="1"/>
  <c r="AJ38" i="4"/>
  <c r="C37" i="3" a="1"/>
  <c r="C37" i="3" s="1"/>
  <c r="D37" i="3" s="1"/>
  <c r="C36" i="3" a="1"/>
  <c r="C36" i="3" s="1"/>
  <c r="D36" i="3" s="1"/>
  <c r="C35" i="3" a="1"/>
  <c r="C35" i="3" s="1"/>
  <c r="D35" i="3" s="1"/>
  <c r="C29" i="3" a="1"/>
  <c r="C29" i="3" s="1"/>
  <c r="D29" i="3" s="1"/>
  <c r="AC118" i="7" s="1"/>
  <c r="C28" i="3" a="1"/>
  <c r="C28" i="3" s="1"/>
  <c r="D28" i="3" s="1"/>
  <c r="AD77" i="7" s="1"/>
  <c r="D27" i="3"/>
  <c r="C4" i="3"/>
  <c r="C5" i="3"/>
  <c r="C45" i="3"/>
  <c r="C44" i="3" a="1"/>
  <c r="C44" i="3" s="1"/>
  <c r="Z45" i="1" l="1"/>
  <c r="AA45" i="1" s="1"/>
  <c r="Z99" i="1"/>
  <c r="AA99" i="1" s="1"/>
  <c r="Z83" i="1"/>
  <c r="AA83" i="1" s="1"/>
  <c r="Y99" i="1"/>
  <c r="Y83" i="1"/>
  <c r="Z52" i="1"/>
  <c r="AA52" i="1" s="1"/>
  <c r="Z90" i="1"/>
  <c r="AA90" i="1" s="1"/>
  <c r="Y90" i="1"/>
  <c r="O97" i="1"/>
  <c r="P97" i="1"/>
  <c r="Q97" i="1" s="1"/>
  <c r="P102" i="1"/>
  <c r="Q102" i="1" s="1"/>
  <c r="O102" i="1"/>
  <c r="R74" i="4"/>
  <c r="R70" i="4"/>
  <c r="U70" i="4" s="1"/>
  <c r="X70" i="4" s="1"/>
  <c r="V36" i="7"/>
  <c r="Z43" i="1"/>
  <c r="AA43" i="1" s="1"/>
  <c r="Z97" i="1"/>
  <c r="AA97" i="1" s="1"/>
  <c r="Z81" i="1"/>
  <c r="AA81" i="1" s="1"/>
  <c r="Y97" i="1"/>
  <c r="Y81" i="1"/>
  <c r="O98" i="1"/>
  <c r="P98" i="1"/>
  <c r="Q98" i="1" s="1"/>
  <c r="AC71" i="5"/>
  <c r="Z55" i="1"/>
  <c r="AA55" i="1" s="1"/>
  <c r="Z93" i="1"/>
  <c r="AA93" i="1" s="1"/>
  <c r="Y93" i="1"/>
  <c r="O99" i="1"/>
  <c r="P99" i="1"/>
  <c r="Q99" i="1" s="1"/>
  <c r="AJ37" i="7"/>
  <c r="Z51" i="1"/>
  <c r="AA51" i="1" s="1"/>
  <c r="Z89" i="1"/>
  <c r="AA89" i="1" s="1"/>
  <c r="Y89" i="1"/>
  <c r="Z46" i="1"/>
  <c r="AA46" i="1" s="1"/>
  <c r="Z100" i="1"/>
  <c r="AA100" i="1" s="1"/>
  <c r="Z84" i="1"/>
  <c r="AA84" i="1" s="1"/>
  <c r="Y100" i="1"/>
  <c r="Y84" i="1"/>
  <c r="Z53" i="1"/>
  <c r="AA53" i="1" s="1"/>
  <c r="Z91" i="1"/>
  <c r="AA91" i="1" s="1"/>
  <c r="Y91" i="1"/>
  <c r="Z42" i="1"/>
  <c r="AA42" i="1" s="1"/>
  <c r="Z96" i="1"/>
  <c r="AA96" i="1" s="1"/>
  <c r="Z80" i="1"/>
  <c r="AA80" i="1" s="1"/>
  <c r="Y96" i="1"/>
  <c r="Y80" i="1"/>
  <c r="M13" i="8"/>
  <c r="E15" i="8" a="1"/>
  <c r="E15" i="8" s="1"/>
  <c r="E31" i="8" a="1"/>
  <c r="E31" i="8" s="1"/>
  <c r="H110" i="5"/>
  <c r="H94" i="5"/>
  <c r="P80" i="1"/>
  <c r="Q80" i="1" s="1"/>
  <c r="Z54" i="1"/>
  <c r="AA54" i="1" s="1"/>
  <c r="Z92" i="1"/>
  <c r="AA92" i="1" s="1"/>
  <c r="Y92" i="1"/>
  <c r="AS79" i="5"/>
  <c r="AC79" i="5"/>
  <c r="Z56" i="1"/>
  <c r="AA56" i="1" s="1"/>
  <c r="Z94" i="1"/>
  <c r="AA94" i="1" s="1"/>
  <c r="Y94" i="1"/>
  <c r="O101" i="1"/>
  <c r="P101" i="1"/>
  <c r="Q101" i="1" s="1"/>
  <c r="Z47" i="1"/>
  <c r="AA47" i="1" s="1"/>
  <c r="Z101" i="1"/>
  <c r="AA101" i="1" s="1"/>
  <c r="Z85" i="1"/>
  <c r="AA85" i="1" s="1"/>
  <c r="Y101" i="1"/>
  <c r="Y85" i="1"/>
  <c r="J110" i="5"/>
  <c r="K110" i="5" s="1"/>
  <c r="J94" i="5"/>
  <c r="K94" i="5" s="1"/>
  <c r="J102" i="5"/>
  <c r="K102" i="5" s="1"/>
  <c r="Z50" i="1"/>
  <c r="AA50" i="1" s="1"/>
  <c r="Z88" i="1"/>
  <c r="AA88" i="1" s="1"/>
  <c r="Y88" i="1"/>
  <c r="Z44" i="1"/>
  <c r="AA44" i="1" s="1"/>
  <c r="Z98" i="1"/>
  <c r="AA98" i="1" s="1"/>
  <c r="Z82" i="1"/>
  <c r="AA82" i="1" s="1"/>
  <c r="Y98" i="1"/>
  <c r="Y82" i="1"/>
  <c r="Z48" i="1"/>
  <c r="AA48" i="1" s="1"/>
  <c r="Z102" i="1"/>
  <c r="AA102" i="1" s="1"/>
  <c r="Z86" i="1"/>
  <c r="AA86" i="1" s="1"/>
  <c r="Y102" i="1"/>
  <c r="Y86" i="1"/>
  <c r="O100" i="1"/>
  <c r="P100" i="1"/>
  <c r="Q100" i="1" s="1"/>
  <c r="P43" i="1"/>
  <c r="Q43" i="1" s="1"/>
  <c r="O81" i="1"/>
  <c r="P81" i="1"/>
  <c r="Q81" i="1" s="1"/>
  <c r="P55" i="1"/>
  <c r="Q55" i="1" s="1"/>
  <c r="P93" i="1"/>
  <c r="Q93" i="1" s="1"/>
  <c r="O93" i="1"/>
  <c r="P45" i="1"/>
  <c r="Q45" i="1" s="1"/>
  <c r="O83" i="1"/>
  <c r="P83" i="1"/>
  <c r="Q83" i="1" s="1"/>
  <c r="O96" i="1"/>
  <c r="P44" i="1"/>
  <c r="Q44" i="1" s="1"/>
  <c r="P82" i="1"/>
  <c r="Q82" i="1" s="1"/>
  <c r="O82" i="1"/>
  <c r="P52" i="1"/>
  <c r="Q52" i="1" s="1"/>
  <c r="P90" i="1"/>
  <c r="Q90" i="1" s="1"/>
  <c r="O90" i="1"/>
  <c r="P48" i="1"/>
  <c r="Q48" i="1" s="1"/>
  <c r="O86" i="1"/>
  <c r="P86" i="1"/>
  <c r="Q86" i="1" s="1"/>
  <c r="P56" i="1"/>
  <c r="Q56" i="1" s="1"/>
  <c r="O94" i="1"/>
  <c r="P94" i="1"/>
  <c r="Q94" i="1" s="1"/>
  <c r="P54" i="1"/>
  <c r="Q54" i="1" s="1"/>
  <c r="O92" i="1"/>
  <c r="P92" i="1"/>
  <c r="Q92" i="1" s="1"/>
  <c r="P47" i="1"/>
  <c r="Q47" i="1" s="1"/>
  <c r="P85" i="1"/>
  <c r="Q85" i="1" s="1"/>
  <c r="O85" i="1"/>
  <c r="P96" i="1"/>
  <c r="Q96" i="1" s="1"/>
  <c r="P51" i="1"/>
  <c r="Q51" i="1" s="1"/>
  <c r="O89" i="1"/>
  <c r="P89" i="1"/>
  <c r="Q89" i="1" s="1"/>
  <c r="P53" i="1"/>
  <c r="Q53" i="1" s="1"/>
  <c r="P91" i="1"/>
  <c r="Q91" i="1" s="1"/>
  <c r="O91" i="1"/>
  <c r="P46" i="1"/>
  <c r="Q46" i="1" s="1"/>
  <c r="P84" i="1"/>
  <c r="Q84" i="1" s="1"/>
  <c r="O84" i="1"/>
  <c r="P50" i="1"/>
  <c r="Q50" i="1" s="1"/>
  <c r="O88" i="1"/>
  <c r="P88" i="1"/>
  <c r="Q88" i="1" s="1"/>
  <c r="J18" i="8"/>
  <c r="L18" i="8" s="1"/>
  <c r="T18" i="8" s="1"/>
  <c r="J9" i="8"/>
  <c r="L9" i="8" s="1"/>
  <c r="T9" i="8" s="1"/>
  <c r="J28" i="8"/>
  <c r="R28" i="8" s="1"/>
  <c r="H39" i="8"/>
  <c r="F100" i="5"/>
  <c r="I100" i="5" s="1"/>
  <c r="L100" i="5" s="1"/>
  <c r="I38" i="8"/>
  <c r="J20" i="8"/>
  <c r="R20" i="8" s="1"/>
  <c r="J30" i="8"/>
  <c r="J22" i="8"/>
  <c r="J17" i="8"/>
  <c r="L17" i="8" s="1"/>
  <c r="T17" i="8" s="1"/>
  <c r="J8" i="8"/>
  <c r="L8" i="8" s="1"/>
  <c r="T8" i="8" s="1"/>
  <c r="J16" i="8"/>
  <c r="L16" i="8" s="1"/>
  <c r="T16" i="8" s="1"/>
  <c r="P30" i="8"/>
  <c r="J13" i="8"/>
  <c r="J11" i="8"/>
  <c r="L11" i="8" s="1"/>
  <c r="T11" i="8" s="1"/>
  <c r="R22" i="8"/>
  <c r="P17" i="8"/>
  <c r="H37" i="8"/>
  <c r="J25" i="8"/>
  <c r="L25" i="8" s="1"/>
  <c r="T25" i="8" s="1"/>
  <c r="P13" i="8"/>
  <c r="R18" i="8"/>
  <c r="I37" i="8"/>
  <c r="I15" i="8" a="1"/>
  <c r="I15" i="8" s="1"/>
  <c r="I33" i="8"/>
  <c r="Q8" i="8"/>
  <c r="H23" i="8" a="1"/>
  <c r="H23" i="8" s="1"/>
  <c r="I51" i="5"/>
  <c r="L51" i="5" s="1"/>
  <c r="F107" i="5"/>
  <c r="F91" i="5"/>
  <c r="I52" i="5"/>
  <c r="L52" i="5" s="1"/>
  <c r="F92" i="5"/>
  <c r="F108" i="5"/>
  <c r="J12" i="8"/>
  <c r="P16" i="8"/>
  <c r="Q12" i="8"/>
  <c r="Q28" i="8"/>
  <c r="I61" i="5"/>
  <c r="L61" i="5" s="1"/>
  <c r="F101" i="5"/>
  <c r="H34" i="8"/>
  <c r="Q65" i="5"/>
  <c r="T65" i="5" s="1"/>
  <c r="H26" i="8"/>
  <c r="H35" i="8" s="1"/>
  <c r="I50" i="5"/>
  <c r="L50" i="5" s="1"/>
  <c r="F90" i="5"/>
  <c r="F106" i="5"/>
  <c r="R17" i="8"/>
  <c r="I59" i="5"/>
  <c r="L59" i="5" s="1"/>
  <c r="F99" i="5"/>
  <c r="J29" i="8"/>
  <c r="P20" i="8"/>
  <c r="P14" i="8"/>
  <c r="J19" i="8"/>
  <c r="P25" i="8"/>
  <c r="I23" i="8" a="1"/>
  <c r="I23" i="8" s="1"/>
  <c r="Q63" i="5"/>
  <c r="T63" i="5" s="1"/>
  <c r="H24" i="8"/>
  <c r="H33" i="8" s="1"/>
  <c r="F87" i="5"/>
  <c r="I47" i="5"/>
  <c r="L47" i="5" s="1"/>
  <c r="F103" i="5"/>
  <c r="I39" i="8"/>
  <c r="H38" i="8"/>
  <c r="I58" i="5"/>
  <c r="L58" i="5" s="1"/>
  <c r="F98" i="5"/>
  <c r="Q66" i="5"/>
  <c r="T66" i="5" s="1"/>
  <c r="H27" i="8"/>
  <c r="I48" i="5"/>
  <c r="L48" i="5" s="1"/>
  <c r="F104" i="5"/>
  <c r="F88" i="5"/>
  <c r="R16" i="8"/>
  <c r="J14" i="8"/>
  <c r="P9" i="8"/>
  <c r="I56" i="5"/>
  <c r="L56" i="5" s="1"/>
  <c r="F96" i="5"/>
  <c r="I55" i="5"/>
  <c r="L55" i="5" s="1"/>
  <c r="F95" i="5"/>
  <c r="J21" i="8"/>
  <c r="I35" i="8"/>
  <c r="I49" i="5"/>
  <c r="L49" i="5" s="1"/>
  <c r="F89" i="5"/>
  <c r="F105" i="5"/>
  <c r="I34" i="8"/>
  <c r="H15" i="8" a="1"/>
  <c r="H15" i="8" s="1"/>
  <c r="P8" i="8"/>
  <c r="F109" i="5"/>
  <c r="F93" i="5"/>
  <c r="J10" i="8"/>
  <c r="P18" i="8"/>
  <c r="P12" i="8"/>
  <c r="I36" i="8"/>
  <c r="I31" i="8" a="1"/>
  <c r="I31" i="8" s="1"/>
  <c r="I57" i="5"/>
  <c r="L57" i="5" s="1"/>
  <c r="F97" i="5"/>
  <c r="Q13" i="8"/>
  <c r="Q24" i="8"/>
  <c r="Q9" i="8"/>
  <c r="I60" i="5"/>
  <c r="L60" i="5" s="1"/>
  <c r="AH31" i="7"/>
  <c r="AJ22" i="7"/>
  <c r="AO31" i="4"/>
  <c r="M79" i="5"/>
  <c r="AQ117" i="7"/>
  <c r="G39" i="4"/>
  <c r="U76" i="4"/>
  <c r="X76" i="4" s="1"/>
  <c r="U31" i="4"/>
  <c r="AP22" i="7"/>
  <c r="AQ77" i="7"/>
  <c r="AR77" i="7"/>
  <c r="AN75" i="4"/>
  <c r="AO79" i="4"/>
  <c r="AN41" i="4"/>
  <c r="AS71" i="6"/>
  <c r="R62" i="4"/>
  <c r="U62" i="4" s="1"/>
  <c r="X62" i="4" s="1"/>
  <c r="AH74" i="4"/>
  <c r="AK74" i="4" s="1"/>
  <c r="AP31" i="4"/>
  <c r="M39" i="4"/>
  <c r="AK79" i="6"/>
  <c r="AG31" i="7"/>
  <c r="AJ38" i="7"/>
  <c r="AD117" i="7"/>
  <c r="AC63" i="4"/>
  <c r="AF63" i="4" s="1"/>
  <c r="AC59" i="4"/>
  <c r="AF59" i="4" s="1"/>
  <c r="AC60" i="4"/>
  <c r="AF60" i="4" s="1"/>
  <c r="AC56" i="4"/>
  <c r="AF56" i="4" s="1"/>
  <c r="AC68" i="4"/>
  <c r="AF68" i="4" s="1"/>
  <c r="AC69" i="4"/>
  <c r="AF69" i="4" s="1"/>
  <c r="AC49" i="4"/>
  <c r="AF49" i="4" s="1"/>
  <c r="AC67" i="4"/>
  <c r="AF67" i="4" s="1"/>
  <c r="Q64" i="5"/>
  <c r="T64" i="5" s="1"/>
  <c r="Q50" i="6"/>
  <c r="T50" i="6" s="1"/>
  <c r="Q64" i="6"/>
  <c r="T64" i="6" s="1"/>
  <c r="Q57" i="6"/>
  <c r="T57" i="6" s="1"/>
  <c r="Q60" i="6"/>
  <c r="T60" i="6" s="1"/>
  <c r="Q51" i="6"/>
  <c r="T51" i="6" s="1"/>
  <c r="Q47" i="6"/>
  <c r="T47" i="6" s="1"/>
  <c r="Q69" i="6"/>
  <c r="T69" i="6" s="1"/>
  <c r="Q66" i="6"/>
  <c r="T66" i="6" s="1"/>
  <c r="Q49" i="6"/>
  <c r="T49" i="6" s="1"/>
  <c r="Q68" i="6"/>
  <c r="T68" i="6" s="1"/>
  <c r="Q67" i="5"/>
  <c r="T67" i="5" s="1"/>
  <c r="Q58" i="6"/>
  <c r="T58" i="6" s="1"/>
  <c r="Q52" i="6"/>
  <c r="T52" i="6" s="1"/>
  <c r="Q65" i="6"/>
  <c r="T65" i="6" s="1"/>
  <c r="Q59" i="6"/>
  <c r="T59" i="6" s="1"/>
  <c r="I65" i="5"/>
  <c r="L65" i="5" s="1"/>
  <c r="I53" i="5"/>
  <c r="L53" i="5" s="1"/>
  <c r="Q56" i="6"/>
  <c r="T56" i="6" s="1"/>
  <c r="Q63" i="6"/>
  <c r="T63" i="6" s="1"/>
  <c r="Q61" i="6"/>
  <c r="T61" i="6" s="1"/>
  <c r="Q55" i="6"/>
  <c r="T55" i="6" s="1"/>
  <c r="Q48" i="6"/>
  <c r="T48" i="6" s="1"/>
  <c r="Q53" i="6"/>
  <c r="T53" i="6" s="1"/>
  <c r="Q67" i="6"/>
  <c r="T67" i="6" s="1"/>
  <c r="AR107" i="7"/>
  <c r="AR99" i="7"/>
  <c r="AQ91" i="7"/>
  <c r="K91" i="7"/>
  <c r="K51" i="7"/>
  <c r="AN91" i="7"/>
  <c r="AQ67" i="7"/>
  <c r="AD59" i="7"/>
  <c r="Z91" i="7"/>
  <c r="AC67" i="7"/>
  <c r="AM91" i="7"/>
  <c r="AC59" i="7"/>
  <c r="AQ51" i="7"/>
  <c r="AQ99" i="7"/>
  <c r="AD91" i="7"/>
  <c r="AN51" i="7"/>
  <c r="AR116" i="7"/>
  <c r="AD99" i="7"/>
  <c r="AC91" i="7"/>
  <c r="AR67" i="7"/>
  <c r="AM51" i="7"/>
  <c r="AQ107" i="7"/>
  <c r="AC51" i="7"/>
  <c r="AD107" i="7"/>
  <c r="Z51" i="7"/>
  <c r="AC107" i="7"/>
  <c r="Y91" i="7"/>
  <c r="Y51" i="7"/>
  <c r="O51" i="7"/>
  <c r="AD67" i="7"/>
  <c r="AR59" i="7"/>
  <c r="AQ59" i="7"/>
  <c r="AC99" i="7"/>
  <c r="AR51" i="7"/>
  <c r="AR91" i="7"/>
  <c r="AD51" i="7"/>
  <c r="AC76" i="7"/>
  <c r="AD116" i="7"/>
  <c r="AD76" i="7"/>
  <c r="AQ76" i="7"/>
  <c r="AC116" i="7"/>
  <c r="AQ116" i="7"/>
  <c r="AR76" i="7"/>
  <c r="O61" i="7"/>
  <c r="Y101" i="7"/>
  <c r="AN61" i="7"/>
  <c r="AP61" i="7" s="1"/>
  <c r="AM101" i="7"/>
  <c r="AO101" i="7" s="1"/>
  <c r="K101" i="7"/>
  <c r="M101" i="7" s="1"/>
  <c r="Z61" i="7"/>
  <c r="Y61" i="7"/>
  <c r="K61" i="7"/>
  <c r="AM61" i="7"/>
  <c r="AO61" i="7" s="1"/>
  <c r="Z101" i="7"/>
  <c r="AN100" i="7"/>
  <c r="Y60" i="7"/>
  <c r="K100" i="7"/>
  <c r="M100" i="7" s="1"/>
  <c r="Z60" i="7"/>
  <c r="O60" i="7"/>
  <c r="AM100" i="7"/>
  <c r="AO100" i="7" s="1"/>
  <c r="AM60" i="7"/>
  <c r="AO60" i="7" s="1"/>
  <c r="K60" i="7"/>
  <c r="Z100" i="7"/>
  <c r="AB100" i="7" s="1"/>
  <c r="AB117" i="7" s="1"/>
  <c r="Y100" i="7"/>
  <c r="AA100" i="7" s="1"/>
  <c r="AN60" i="7"/>
  <c r="AP60" i="7" s="1"/>
  <c r="U72" i="4"/>
  <c r="AV71" i="5"/>
  <c r="AN71" i="5"/>
  <c r="AF79" i="5"/>
  <c r="X79" i="5"/>
  <c r="J79" i="5"/>
  <c r="K79" i="5" s="1"/>
  <c r="G79" i="5"/>
  <c r="V22" i="7"/>
  <c r="AK39" i="7"/>
  <c r="AQ118" i="7"/>
  <c r="AN62" i="4"/>
  <c r="AP78" i="4"/>
  <c r="AS78" i="4" s="1"/>
  <c r="AV78" i="4" s="1"/>
  <c r="M71" i="5"/>
  <c r="J71" i="5"/>
  <c r="K71" i="5" s="1"/>
  <c r="G71" i="5"/>
  <c r="AV71" i="6"/>
  <c r="AQ78" i="7"/>
  <c r="Q68" i="5"/>
  <c r="T68" i="5" s="1"/>
  <c r="AC117" i="7"/>
  <c r="P71" i="5"/>
  <c r="H71" i="5"/>
  <c r="U71" i="5"/>
  <c r="AP76" i="4"/>
  <c r="AS76" i="4" s="1"/>
  <c r="AN74" i="4"/>
  <c r="E71" i="5"/>
  <c r="AH79" i="5"/>
  <c r="AI79" i="5" s="1"/>
  <c r="AE79" i="5"/>
  <c r="AV79" i="5"/>
  <c r="AN79" i="5"/>
  <c r="AX79" i="6"/>
  <c r="AY79" i="6" s="1"/>
  <c r="AI37" i="7"/>
  <c r="AP77" i="4"/>
  <c r="AS77" i="4" s="1"/>
  <c r="AV77" i="4" s="1"/>
  <c r="AX71" i="5"/>
  <c r="AU71" i="5"/>
  <c r="Z71" i="5"/>
  <c r="W71" i="5"/>
  <c r="AK79" i="5"/>
  <c r="AF71" i="5"/>
  <c r="X71" i="5"/>
  <c r="AJ36" i="7"/>
  <c r="AL39" i="7"/>
  <c r="AD78" i="7"/>
  <c r="AR118" i="7"/>
  <c r="AC101" i="7"/>
  <c r="Z93" i="7"/>
  <c r="AR69" i="7"/>
  <c r="AQ61" i="7"/>
  <c r="AM53" i="7"/>
  <c r="AD109" i="7"/>
  <c r="AD93" i="7"/>
  <c r="AC69" i="7"/>
  <c r="AR93" i="7"/>
  <c r="O53" i="7"/>
  <c r="AC109" i="7"/>
  <c r="AQ93" i="7"/>
  <c r="AR53" i="7"/>
  <c r="K53" i="7"/>
  <c r="AM93" i="7"/>
  <c r="AQ69" i="7"/>
  <c r="AQ53" i="7"/>
  <c r="AQ101" i="7"/>
  <c r="Y93" i="7"/>
  <c r="AD53" i="7"/>
  <c r="AR109" i="7"/>
  <c r="AQ109" i="7"/>
  <c r="AC93" i="7"/>
  <c r="AD69" i="7"/>
  <c r="AR61" i="7"/>
  <c r="AD118" i="7"/>
  <c r="K93" i="7"/>
  <c r="AN53" i="7"/>
  <c r="AR101" i="7"/>
  <c r="AD61" i="7"/>
  <c r="AC53" i="7"/>
  <c r="AC61" i="7"/>
  <c r="Z53" i="7"/>
  <c r="AD101" i="7"/>
  <c r="Y53" i="7"/>
  <c r="AP79" i="5"/>
  <c r="AM79" i="5"/>
  <c r="AN54" i="4"/>
  <c r="AH71" i="5"/>
  <c r="AI71" i="5" s="1"/>
  <c r="AE71" i="5"/>
  <c r="V39" i="4"/>
  <c r="R79" i="4" s="1"/>
  <c r="AS71" i="5"/>
  <c r="E79" i="5"/>
  <c r="AK71" i="5"/>
  <c r="Z79" i="5"/>
  <c r="AA79" i="5" s="1"/>
  <c r="W79" i="5"/>
  <c r="AN71" i="6"/>
  <c r="E71" i="6"/>
  <c r="U36" i="7"/>
  <c r="AN59" i="7"/>
  <c r="K59" i="7"/>
  <c r="AM99" i="7"/>
  <c r="Y99" i="7"/>
  <c r="Z59" i="7"/>
  <c r="Z99" i="7"/>
  <c r="O59" i="7"/>
  <c r="AM59" i="7"/>
  <c r="Y59" i="7"/>
  <c r="K99" i="7"/>
  <c r="AX79" i="5"/>
  <c r="AU79" i="5"/>
  <c r="P79" i="5"/>
  <c r="H79" i="5"/>
  <c r="U30" i="7"/>
  <c r="AM92" i="7"/>
  <c r="AC60" i="7"/>
  <c r="AR52" i="7"/>
  <c r="Z52" i="7"/>
  <c r="AC108" i="7"/>
  <c r="AD100" i="7"/>
  <c r="AC92" i="7"/>
  <c r="AD68" i="7"/>
  <c r="AQ100" i="7"/>
  <c r="AQ92" i="7"/>
  <c r="AQ68" i="7"/>
  <c r="AN92" i="7"/>
  <c r="AD60" i="7"/>
  <c r="AC52" i="7"/>
  <c r="AD92" i="7"/>
  <c r="AR100" i="7"/>
  <c r="Z92" i="7"/>
  <c r="AR68" i="7"/>
  <c r="Y52" i="7"/>
  <c r="AR108" i="7"/>
  <c r="K92" i="7"/>
  <c r="AR60" i="7"/>
  <c r="AN52" i="7"/>
  <c r="AC100" i="7"/>
  <c r="AM52" i="7"/>
  <c r="AD52" i="7"/>
  <c r="AQ108" i="7"/>
  <c r="O52" i="7"/>
  <c r="AR92" i="7"/>
  <c r="K52" i="7"/>
  <c r="AD108" i="7"/>
  <c r="Y92" i="7"/>
  <c r="AQ60" i="7"/>
  <c r="AQ52" i="7"/>
  <c r="AC68" i="7"/>
  <c r="AH78" i="4"/>
  <c r="AK78" i="4" s="1"/>
  <c r="AN78" i="4" s="1"/>
  <c r="R71" i="5"/>
  <c r="S71" i="5" s="1"/>
  <c r="O71" i="5"/>
  <c r="U79" i="5"/>
  <c r="AP71" i="5"/>
  <c r="AM71" i="5"/>
  <c r="R79" i="5"/>
  <c r="S79" i="5" s="1"/>
  <c r="O79" i="5"/>
  <c r="AE39" i="7"/>
  <c r="S31" i="7"/>
  <c r="Q69" i="5"/>
  <c r="T69" i="5" s="1"/>
  <c r="AR117" i="7"/>
  <c r="AC77" i="7"/>
  <c r="AC78" i="7"/>
  <c r="AR78" i="7"/>
  <c r="I64" i="5"/>
  <c r="L64" i="5" s="1"/>
  <c r="I69" i="5"/>
  <c r="L69" i="5" s="1"/>
  <c r="Q60" i="5"/>
  <c r="T60" i="5" s="1"/>
  <c r="Q56" i="5"/>
  <c r="T56" i="5" s="1"/>
  <c r="Q51" i="5"/>
  <c r="T51" i="5" s="1"/>
  <c r="Q47" i="5"/>
  <c r="T47" i="5" s="1"/>
  <c r="Q61" i="5"/>
  <c r="T61" i="5" s="1"/>
  <c r="Q57" i="5"/>
  <c r="T57" i="5" s="1"/>
  <c r="Q52" i="5"/>
  <c r="T52" i="5" s="1"/>
  <c r="Q48" i="5"/>
  <c r="T48" i="5" s="1"/>
  <c r="Q58" i="5"/>
  <c r="T58" i="5" s="1"/>
  <c r="Q53" i="5"/>
  <c r="T53" i="5" s="1"/>
  <c r="Q49" i="5"/>
  <c r="T49" i="5" s="1"/>
  <c r="Q59" i="5"/>
  <c r="T59" i="5" s="1"/>
  <c r="Q55" i="5"/>
  <c r="T55" i="5" s="1"/>
  <c r="Q50" i="5"/>
  <c r="T50" i="5" s="1"/>
  <c r="U22" i="7"/>
  <c r="W39" i="7"/>
  <c r="G119" i="7"/>
  <c r="X39" i="7"/>
  <c r="G38" i="7"/>
  <c r="U37" i="7"/>
  <c r="AI38" i="7"/>
  <c r="X31" i="7"/>
  <c r="AL31" i="7"/>
  <c r="AG39" i="7"/>
  <c r="AH39" i="7"/>
  <c r="U38" i="7"/>
  <c r="AI36" i="7"/>
  <c r="U35" i="7"/>
  <c r="AE31" i="7"/>
  <c r="W31" i="7"/>
  <c r="G79" i="7"/>
  <c r="G71" i="7"/>
  <c r="AI22" i="7"/>
  <c r="AO22" i="7"/>
  <c r="V35" i="7"/>
  <c r="AI14" i="7"/>
  <c r="S39" i="7"/>
  <c r="AJ35" i="7"/>
  <c r="T31" i="7"/>
  <c r="G14" i="7"/>
  <c r="C31" i="7"/>
  <c r="I39" i="7"/>
  <c r="G36" i="7"/>
  <c r="AF31" i="7"/>
  <c r="AJ31" i="7" s="1"/>
  <c r="AJ14" i="7"/>
  <c r="T39" i="7"/>
  <c r="G35" i="7"/>
  <c r="C39" i="7"/>
  <c r="Q31" i="7"/>
  <c r="U14" i="7"/>
  <c r="Q39" i="7"/>
  <c r="I31" i="7"/>
  <c r="G111" i="7"/>
  <c r="R31" i="7"/>
  <c r="V14" i="7"/>
  <c r="R39" i="7"/>
  <c r="AK31" i="7"/>
  <c r="M35" i="7"/>
  <c r="AF39" i="7"/>
  <c r="AI35" i="7"/>
  <c r="P79" i="6"/>
  <c r="H79" i="6"/>
  <c r="AK71" i="6"/>
  <c r="U71" i="6"/>
  <c r="O71" i="6"/>
  <c r="R71" i="6"/>
  <c r="S71" i="6" s="1"/>
  <c r="G71" i="6"/>
  <c r="J71" i="6"/>
  <c r="K71" i="6" s="1"/>
  <c r="AM71" i="6"/>
  <c r="AP71" i="6"/>
  <c r="AQ71" i="6" s="1"/>
  <c r="AC71" i="6"/>
  <c r="AE79" i="6"/>
  <c r="AH79" i="6"/>
  <c r="AI79" i="6" s="1"/>
  <c r="P71" i="6"/>
  <c r="AU71" i="6"/>
  <c r="AX71" i="6"/>
  <c r="AY71" i="6" s="1"/>
  <c r="U79" i="6"/>
  <c r="AE71" i="6"/>
  <c r="AH71" i="6"/>
  <c r="AI71" i="6" s="1"/>
  <c r="AF71" i="6"/>
  <c r="X71" i="6"/>
  <c r="AF79" i="6"/>
  <c r="X79" i="6"/>
  <c r="M71" i="6"/>
  <c r="AS79" i="6"/>
  <c r="G79" i="6"/>
  <c r="J79" i="6"/>
  <c r="K79" i="6" s="1"/>
  <c r="W71" i="6"/>
  <c r="Z71" i="6"/>
  <c r="AA71" i="6" s="1"/>
  <c r="AV79" i="6"/>
  <c r="AN79" i="6"/>
  <c r="O79" i="6"/>
  <c r="R79" i="6"/>
  <c r="S79" i="6" s="1"/>
  <c r="W79" i="6"/>
  <c r="Z79" i="6"/>
  <c r="AA79" i="6" s="1"/>
  <c r="M79" i="6"/>
  <c r="AM79" i="6"/>
  <c r="AP79" i="6"/>
  <c r="AQ79" i="6" s="1"/>
  <c r="AY71" i="5"/>
  <c r="AQ79" i="5"/>
  <c r="AA71" i="5"/>
  <c r="AQ71" i="5"/>
  <c r="AY79" i="5"/>
  <c r="AP70" i="4"/>
  <c r="AS70" i="4" s="1"/>
  <c r="AV70" i="4" s="1"/>
  <c r="AI71" i="4"/>
  <c r="AL71" i="4"/>
  <c r="AM71" i="4" s="1"/>
  <c r="R73" i="4"/>
  <c r="U73" i="4" s="1"/>
  <c r="X73" i="4" s="1"/>
  <c r="AA79" i="4"/>
  <c r="AP71" i="4"/>
  <c r="AS71" i="4" s="1"/>
  <c r="AV71" i="4" s="1"/>
  <c r="M31" i="4"/>
  <c r="AH72" i="4"/>
  <c r="AK72" i="4" s="1"/>
  <c r="AN72" i="4" s="1"/>
  <c r="AV75" i="4"/>
  <c r="G31" i="4"/>
  <c r="AI39" i="4"/>
  <c r="AG79" i="4"/>
  <c r="AJ79" i="4"/>
  <c r="Y79" i="4"/>
  <c r="AI31" i="4"/>
  <c r="AH71" i="4" s="1"/>
  <c r="AK71" i="4" s="1"/>
  <c r="AQ79" i="4"/>
  <c r="Q71" i="4"/>
  <c r="AB71" i="4"/>
  <c r="T71" i="4"/>
  <c r="AV76" i="4"/>
  <c r="AO71" i="4"/>
  <c r="AV73" i="4"/>
  <c r="AP72" i="4"/>
  <c r="AS72" i="4" s="1"/>
  <c r="AV72" i="4" s="1"/>
  <c r="AN73" i="4"/>
  <c r="X72" i="4"/>
  <c r="AQ71" i="4"/>
  <c r="AT71" i="4"/>
  <c r="AU71" i="4" s="1"/>
  <c r="Q79" i="4"/>
  <c r="AB79" i="4"/>
  <c r="T79" i="4"/>
  <c r="AF75" i="4"/>
  <c r="Y71" i="4"/>
  <c r="S71" i="4"/>
  <c r="V71" i="4"/>
  <c r="W71" i="4" s="1"/>
  <c r="V31" i="4"/>
  <c r="AO39" i="4"/>
  <c r="AP79" i="4" s="1"/>
  <c r="S79" i="4"/>
  <c r="V79" i="4"/>
  <c r="W79" i="4" s="1"/>
  <c r="AH77" i="4"/>
  <c r="AK77" i="4" s="1"/>
  <c r="AN77" i="4" s="1"/>
  <c r="AV54" i="4"/>
  <c r="AH70" i="4"/>
  <c r="AK70" i="4" s="1"/>
  <c r="AN70" i="4" s="1"/>
  <c r="AI79" i="4"/>
  <c r="AL79" i="4"/>
  <c r="AM79" i="4" s="1"/>
  <c r="AA71" i="4"/>
  <c r="AD71" i="4"/>
  <c r="AE71" i="4" s="1"/>
  <c r="AJ71" i="4"/>
  <c r="AG71" i="4"/>
  <c r="AR71" i="4"/>
  <c r="X54" i="4"/>
  <c r="AJ39" i="4"/>
  <c r="D44" i="3"/>
  <c r="C43" i="3" a="1"/>
  <c r="C43" i="3" s="1"/>
  <c r="D43" i="3" s="1"/>
  <c r="D45" i="3"/>
  <c r="H27" i="1"/>
  <c r="K27" i="1"/>
  <c r="J27" i="1"/>
  <c r="H29" i="1"/>
  <c r="K29" i="1"/>
  <c r="J29" i="1"/>
  <c r="H30" i="1"/>
  <c r="K30" i="1"/>
  <c r="J30" i="1"/>
  <c r="H31" i="1"/>
  <c r="K31" i="1"/>
  <c r="J31" i="1"/>
  <c r="H32" i="1"/>
  <c r="K32" i="1"/>
  <c r="J32" i="1"/>
  <c r="H33" i="1"/>
  <c r="K33" i="1"/>
  <c r="J33" i="1"/>
  <c r="H34" i="1"/>
  <c r="K34" i="1"/>
  <c r="J34" i="1"/>
  <c r="H35" i="1"/>
  <c r="K35" i="1"/>
  <c r="J35" i="1"/>
  <c r="H19" i="1"/>
  <c r="K19" i="1"/>
  <c r="J19" i="1"/>
  <c r="H11" i="1"/>
  <c r="K11" i="1"/>
  <c r="J11" i="1"/>
  <c r="I19" i="1"/>
  <c r="I11" i="1"/>
  <c r="I35" i="1"/>
  <c r="I34" i="1"/>
  <c r="I33" i="1"/>
  <c r="I32" i="1"/>
  <c r="I31" i="1"/>
  <c r="I30" i="1"/>
  <c r="I29" i="1"/>
  <c r="I27" i="1"/>
  <c r="R71" i="4" l="1"/>
  <c r="R8" i="8"/>
  <c r="R9" i="8"/>
  <c r="R13" i="8"/>
  <c r="R30" i="8"/>
  <c r="R11" i="8"/>
  <c r="I95" i="5"/>
  <c r="L95" i="5" s="1"/>
  <c r="I108" i="5"/>
  <c r="L108" i="5" s="1"/>
  <c r="I105" i="5"/>
  <c r="L105" i="5" s="1"/>
  <c r="I96" i="5"/>
  <c r="L96" i="5" s="1"/>
  <c r="I90" i="5"/>
  <c r="L90" i="5" s="1"/>
  <c r="I91" i="5"/>
  <c r="L91" i="5" s="1"/>
  <c r="I89" i="5"/>
  <c r="L89" i="5" s="1"/>
  <c r="I87" i="5"/>
  <c r="L87" i="5" s="1"/>
  <c r="I107" i="5"/>
  <c r="L107" i="5" s="1"/>
  <c r="I104" i="5"/>
  <c r="L104" i="5" s="1"/>
  <c r="I92" i="5"/>
  <c r="L92" i="5" s="1"/>
  <c r="I97" i="5"/>
  <c r="L97" i="5" s="1"/>
  <c r="I93" i="5"/>
  <c r="L93" i="5" s="1"/>
  <c r="I98" i="5"/>
  <c r="L98" i="5" s="1"/>
  <c r="R25" i="8"/>
  <c r="I101" i="5"/>
  <c r="L101" i="5" s="1"/>
  <c r="I109" i="5"/>
  <c r="L109" i="5" s="1"/>
  <c r="I88" i="5"/>
  <c r="L88" i="5" s="1"/>
  <c r="I103" i="5"/>
  <c r="L103" i="5" s="1"/>
  <c r="I106" i="5"/>
  <c r="L106" i="5" s="1"/>
  <c r="I99" i="5"/>
  <c r="L99" i="5" s="1"/>
  <c r="P27" i="8"/>
  <c r="J27" i="8"/>
  <c r="L19" i="8"/>
  <c r="T19" i="8" s="1"/>
  <c r="R19" i="8"/>
  <c r="R21" i="8"/>
  <c r="H36" i="8"/>
  <c r="R12" i="8"/>
  <c r="R14" i="8"/>
  <c r="L10" i="8"/>
  <c r="T10" i="8" s="1"/>
  <c r="R10" i="8"/>
  <c r="H31" i="8" a="1"/>
  <c r="H31" i="8" s="1"/>
  <c r="P24" i="8"/>
  <c r="J24" i="8"/>
  <c r="R29" i="8"/>
  <c r="P26" i="8"/>
  <c r="J26" i="8"/>
  <c r="AA53" i="7"/>
  <c r="Y13" i="7"/>
  <c r="C234" i="7"/>
  <c r="C195" i="7"/>
  <c r="AO92" i="7"/>
  <c r="AO99" i="7"/>
  <c r="AM102" i="7"/>
  <c r="AO102" i="7" s="1"/>
  <c r="C192" i="7"/>
  <c r="V31" i="7"/>
  <c r="AA92" i="7"/>
  <c r="K102" i="7"/>
  <c r="M102" i="7" s="1"/>
  <c r="M99" i="7"/>
  <c r="K62" i="7"/>
  <c r="M62" i="7" s="1"/>
  <c r="M59" i="7"/>
  <c r="K19" i="7"/>
  <c r="K20" i="8" s="1"/>
  <c r="S20" i="8" s="1"/>
  <c r="AB53" i="7"/>
  <c r="Z13" i="7"/>
  <c r="AN102" i="7"/>
  <c r="AP102" i="7" s="1"/>
  <c r="AP100" i="7"/>
  <c r="AN116" i="7"/>
  <c r="AP91" i="7"/>
  <c r="AP116" i="7" s="1"/>
  <c r="C236" i="7"/>
  <c r="C197" i="7"/>
  <c r="AI39" i="7"/>
  <c r="AP52" i="7"/>
  <c r="AN12" i="7"/>
  <c r="AA59" i="7"/>
  <c r="Y62" i="7"/>
  <c r="AA62" i="7" s="1"/>
  <c r="Y19" i="7"/>
  <c r="AP59" i="7"/>
  <c r="AN62" i="7"/>
  <c r="AP62" i="7" s="1"/>
  <c r="K20" i="7"/>
  <c r="M60" i="7"/>
  <c r="AM54" i="7"/>
  <c r="AO51" i="7"/>
  <c r="AM11" i="7"/>
  <c r="M51" i="7"/>
  <c r="K11" i="7"/>
  <c r="K12" i="8" s="1"/>
  <c r="S12" i="8" s="1"/>
  <c r="K54" i="7"/>
  <c r="AA99" i="7"/>
  <c r="Y102" i="7"/>
  <c r="AA102" i="7" s="1"/>
  <c r="M93" i="7"/>
  <c r="AP51" i="7"/>
  <c r="AN54" i="7"/>
  <c r="AN11" i="7"/>
  <c r="AO52" i="7"/>
  <c r="AM12" i="7"/>
  <c r="Y20" i="7"/>
  <c r="AA20" i="7" s="1"/>
  <c r="AA60" i="7"/>
  <c r="C235" i="7"/>
  <c r="C174" i="7"/>
  <c r="C237" i="7"/>
  <c r="C194" i="7"/>
  <c r="M52" i="7"/>
  <c r="K12" i="7"/>
  <c r="K13" i="8" s="1"/>
  <c r="S13" i="8" s="1"/>
  <c r="AO59" i="7"/>
  <c r="AM62" i="7"/>
  <c r="AO62" i="7" s="1"/>
  <c r="AO93" i="7"/>
  <c r="AO118" i="7" s="1"/>
  <c r="AM118" i="7"/>
  <c r="AA51" i="7"/>
  <c r="Y11" i="7"/>
  <c r="Y54" i="7"/>
  <c r="M91" i="7"/>
  <c r="K94" i="7"/>
  <c r="C238" i="7"/>
  <c r="C182" i="7"/>
  <c r="C190" i="7"/>
  <c r="O62" i="7"/>
  <c r="K13" i="7"/>
  <c r="K14" i="8" s="1"/>
  <c r="S14" i="8" s="1"/>
  <c r="M53" i="7"/>
  <c r="M61" i="7"/>
  <c r="K21" i="7"/>
  <c r="AA91" i="7"/>
  <c r="Y94" i="7"/>
  <c r="C230" i="7"/>
  <c r="C214" i="7"/>
  <c r="C196" i="7"/>
  <c r="Z109" i="7"/>
  <c r="Z118" i="7" s="1"/>
  <c r="Z69" i="7"/>
  <c r="K109" i="7"/>
  <c r="M109" i="7" s="1"/>
  <c r="O69" i="7"/>
  <c r="O78" i="7" s="1"/>
  <c r="AN109" i="7"/>
  <c r="K69" i="7"/>
  <c r="K78" i="7" s="1"/>
  <c r="M78" i="7" s="1"/>
  <c r="Y109" i="7"/>
  <c r="Y118" i="7" s="1"/>
  <c r="AM69" i="7"/>
  <c r="AO69" i="7" s="1"/>
  <c r="AN69" i="7"/>
  <c r="AP69" i="7" s="1"/>
  <c r="Y69" i="7"/>
  <c r="Y78" i="7" s="1"/>
  <c r="U79" i="4"/>
  <c r="X79" i="4" s="1"/>
  <c r="AJ39" i="7"/>
  <c r="O54" i="7"/>
  <c r="AN94" i="7"/>
  <c r="AP92" i="7"/>
  <c r="AB52" i="7"/>
  <c r="Z12" i="7"/>
  <c r="Z102" i="7"/>
  <c r="AB102" i="7" s="1"/>
  <c r="AB99" i="7"/>
  <c r="AO53" i="7"/>
  <c r="AM13" i="7"/>
  <c r="Y21" i="7"/>
  <c r="AA21" i="7" s="1"/>
  <c r="AA61" i="7"/>
  <c r="C233" i="7"/>
  <c r="C198" i="7"/>
  <c r="AM108" i="7"/>
  <c r="AO108" i="7" s="1"/>
  <c r="AN68" i="7"/>
  <c r="AP68" i="7" s="1"/>
  <c r="K108" i="7"/>
  <c r="M108" i="7" s="1"/>
  <c r="O68" i="7"/>
  <c r="O77" i="7" s="1"/>
  <c r="K68" i="7"/>
  <c r="K77" i="7" s="1"/>
  <c r="M77" i="7" s="1"/>
  <c r="Z108" i="7"/>
  <c r="Z117" i="7" s="1"/>
  <c r="Y108" i="7"/>
  <c r="AA108" i="7" s="1"/>
  <c r="AM68" i="7"/>
  <c r="AO68" i="7" s="1"/>
  <c r="Y68" i="7"/>
  <c r="Y77" i="7" s="1"/>
  <c r="AN108" i="7"/>
  <c r="Z68" i="7"/>
  <c r="M92" i="7"/>
  <c r="AO91" i="7"/>
  <c r="AM94" i="7"/>
  <c r="C232" i="7"/>
  <c r="C222" i="7"/>
  <c r="C193" i="7"/>
  <c r="Y107" i="7"/>
  <c r="Y67" i="7"/>
  <c r="Y76" i="7" s="1"/>
  <c r="K67" i="7"/>
  <c r="K76" i="7" s="1"/>
  <c r="M76" i="7" s="1"/>
  <c r="Z107" i="7"/>
  <c r="Z116" i="7" s="1"/>
  <c r="K107" i="7"/>
  <c r="K116" i="7" s="1"/>
  <c r="AM67" i="7"/>
  <c r="AM76" i="7" s="1"/>
  <c r="AN67" i="7"/>
  <c r="AN76" i="7" s="1"/>
  <c r="Z67" i="7"/>
  <c r="Z76" i="7" s="1"/>
  <c r="O67" i="7"/>
  <c r="O76" i="7" s="1"/>
  <c r="AM107" i="7"/>
  <c r="AM116" i="7" s="1"/>
  <c r="AA52" i="7"/>
  <c r="Y12" i="7"/>
  <c r="AB59" i="7"/>
  <c r="Z19" i="7"/>
  <c r="Z62" i="7"/>
  <c r="AB62" i="7" s="1"/>
  <c r="AP53" i="7"/>
  <c r="AN13" i="7"/>
  <c r="AB60" i="7"/>
  <c r="Z20" i="7"/>
  <c r="AB20" i="7" s="1"/>
  <c r="AB61" i="7"/>
  <c r="Z21" i="7"/>
  <c r="AB21" i="7" s="1"/>
  <c r="Z54" i="7"/>
  <c r="AB51" i="7"/>
  <c r="Z11" i="7"/>
  <c r="AB91" i="7"/>
  <c r="Z94" i="7"/>
  <c r="U31" i="7"/>
  <c r="G31" i="7"/>
  <c r="U39" i="7"/>
  <c r="G39" i="7"/>
  <c r="AI31" i="7"/>
  <c r="V39" i="7"/>
  <c r="H36" i="1"/>
  <c r="U71" i="4"/>
  <c r="X71" i="4" s="1"/>
  <c r="AH79" i="4"/>
  <c r="AK79" i="4" s="1"/>
  <c r="AN79" i="4" s="1"/>
  <c r="AN71" i="4"/>
  <c r="H28" i="1"/>
  <c r="K28" i="1"/>
  <c r="I28" i="1"/>
  <c r="J28" i="1"/>
  <c r="J36" i="1"/>
  <c r="K36" i="1"/>
  <c r="I36" i="1"/>
  <c r="AP78" i="7" l="1"/>
  <c r="AN78" i="7"/>
  <c r="AO78" i="7"/>
  <c r="L20" i="8"/>
  <c r="T20" i="8" s="1"/>
  <c r="L14" i="8"/>
  <c r="T14" i="8" s="1"/>
  <c r="L12" i="8"/>
  <c r="T12" i="8" s="1"/>
  <c r="M21" i="7"/>
  <c r="K22" i="8"/>
  <c r="AN77" i="7"/>
  <c r="M20" i="7"/>
  <c r="K21" i="8"/>
  <c r="L13" i="8"/>
  <c r="T13" i="8" s="1"/>
  <c r="L26" i="8"/>
  <c r="T26" i="8" s="1"/>
  <c r="R26" i="8"/>
  <c r="L24" i="8"/>
  <c r="T24" i="8" s="1"/>
  <c r="R24" i="8"/>
  <c r="L27" i="8"/>
  <c r="T27" i="8" s="1"/>
  <c r="R27" i="8"/>
  <c r="M118" i="7"/>
  <c r="AM117" i="7"/>
  <c r="AM119" i="7" s="1"/>
  <c r="AP77" i="7"/>
  <c r="AO117" i="7"/>
  <c r="AN36" i="7"/>
  <c r="AP11" i="7"/>
  <c r="AP36" i="7" s="1"/>
  <c r="AN14" i="7"/>
  <c r="AO67" i="7"/>
  <c r="AO76" i="7" s="1"/>
  <c r="AM70" i="7"/>
  <c r="AO70" i="7" s="1"/>
  <c r="M12" i="7"/>
  <c r="AP54" i="7"/>
  <c r="C231" i="7"/>
  <c r="AM110" i="7"/>
  <c r="AO110" i="7" s="1"/>
  <c r="AO107" i="7"/>
  <c r="AO116" i="7" s="1"/>
  <c r="AA67" i="7"/>
  <c r="AA76" i="7" s="1"/>
  <c r="Y70" i="7"/>
  <c r="AA70" i="7" s="1"/>
  <c r="Y27" i="7"/>
  <c r="AB68" i="7"/>
  <c r="AB77" i="7" s="1"/>
  <c r="Z28" i="7"/>
  <c r="AB28" i="7" s="1"/>
  <c r="M94" i="7"/>
  <c r="K118" i="7"/>
  <c r="AM36" i="7"/>
  <c r="AO11" i="7"/>
  <c r="AO36" i="7" s="1"/>
  <c r="AM14" i="7"/>
  <c r="AB54" i="7"/>
  <c r="O70" i="7"/>
  <c r="O71" i="7" s="1"/>
  <c r="Y110" i="7"/>
  <c r="AA110" i="7" s="1"/>
  <c r="AA107" i="7"/>
  <c r="AA116" i="7" s="1"/>
  <c r="AN110" i="7"/>
  <c r="AP110" i="7" s="1"/>
  <c r="AP108" i="7"/>
  <c r="AP117" i="7" s="1"/>
  <c r="K29" i="7"/>
  <c r="K38" i="7" s="1"/>
  <c r="M38" i="7" s="1"/>
  <c r="M69" i="7"/>
  <c r="Y116" i="7"/>
  <c r="C191" i="7"/>
  <c r="Z70" i="7"/>
  <c r="AB70" i="7" s="1"/>
  <c r="AB67" i="7"/>
  <c r="AB76" i="7" s="1"/>
  <c r="Z27" i="7"/>
  <c r="Z36" i="7" s="1"/>
  <c r="AO94" i="7"/>
  <c r="AA68" i="7"/>
  <c r="AA77" i="7" s="1"/>
  <c r="Y28" i="7"/>
  <c r="AA28" i="7" s="1"/>
  <c r="Z77" i="7"/>
  <c r="AN118" i="7"/>
  <c r="AP109" i="7"/>
  <c r="AP118" i="7" s="1"/>
  <c r="AO54" i="7"/>
  <c r="AA19" i="7"/>
  <c r="Y22" i="7"/>
  <c r="AA22" i="7" s="1"/>
  <c r="AN70" i="7"/>
  <c r="AP70" i="7" s="1"/>
  <c r="AP67" i="7"/>
  <c r="AP76" i="7" s="1"/>
  <c r="Y79" i="7"/>
  <c r="C239" i="7"/>
  <c r="Z119" i="7"/>
  <c r="AA54" i="7"/>
  <c r="O79" i="7"/>
  <c r="AB13" i="7"/>
  <c r="Y117" i="7"/>
  <c r="AB94" i="7"/>
  <c r="Z29" i="7"/>
  <c r="AB29" i="7" s="1"/>
  <c r="AB69" i="7"/>
  <c r="AB78" i="7" s="1"/>
  <c r="AA11" i="7"/>
  <c r="Y14" i="7"/>
  <c r="AA14" i="7" s="1"/>
  <c r="K79" i="7"/>
  <c r="M79" i="7" s="1"/>
  <c r="AA117" i="7"/>
  <c r="AA13" i="7"/>
  <c r="AA12" i="7"/>
  <c r="AB107" i="7"/>
  <c r="AB116" i="7" s="1"/>
  <c r="AB119" i="7" s="1"/>
  <c r="Z110" i="7"/>
  <c r="AB110" i="7" s="1"/>
  <c r="M117" i="7"/>
  <c r="M68" i="7"/>
  <c r="K28" i="7"/>
  <c r="AM78" i="7"/>
  <c r="AN117" i="7"/>
  <c r="M13" i="7"/>
  <c r="AM37" i="7"/>
  <c r="AO12" i="7"/>
  <c r="AO37" i="7" s="1"/>
  <c r="M11" i="7"/>
  <c r="K14" i="7"/>
  <c r="M14" i="7" s="1"/>
  <c r="AN37" i="7"/>
  <c r="AP12" i="7"/>
  <c r="AP37" i="7" s="1"/>
  <c r="Z78" i="7"/>
  <c r="Z22" i="7"/>
  <c r="AB22" i="7" s="1"/>
  <c r="AB19" i="7"/>
  <c r="AB12" i="7"/>
  <c r="M54" i="7"/>
  <c r="M107" i="7"/>
  <c r="M116" i="7" s="1"/>
  <c r="K110" i="7"/>
  <c r="M110" i="7" s="1"/>
  <c r="K117" i="7"/>
  <c r="AM38" i="7"/>
  <c r="AO13" i="7"/>
  <c r="AO38" i="7" s="1"/>
  <c r="Y29" i="7"/>
  <c r="AA29" i="7" s="1"/>
  <c r="AA69" i="7"/>
  <c r="AA78" i="7" s="1"/>
  <c r="AM77" i="7"/>
  <c r="C199" i="7"/>
  <c r="Z14" i="7"/>
  <c r="AB14" i="7" s="1"/>
  <c r="AB11" i="7"/>
  <c r="AP13" i="7"/>
  <c r="AP38" i="7" s="1"/>
  <c r="AN38" i="7"/>
  <c r="M67" i="7"/>
  <c r="K70" i="7"/>
  <c r="M70" i="7" s="1"/>
  <c r="K27" i="7"/>
  <c r="AP94" i="7"/>
  <c r="AA94" i="7"/>
  <c r="AA111" i="7" s="1"/>
  <c r="AO77" i="7"/>
  <c r="M19" i="7"/>
  <c r="K22" i="7"/>
  <c r="M22" i="7" s="1"/>
  <c r="D29" i="1"/>
  <c r="D67" i="1" s="1"/>
  <c r="E29" i="1"/>
  <c r="F29" i="1"/>
  <c r="D30" i="1"/>
  <c r="D68" i="1" s="1"/>
  <c r="E30" i="1"/>
  <c r="F30" i="1"/>
  <c r="D31" i="1"/>
  <c r="D69" i="1" s="1"/>
  <c r="E31" i="1"/>
  <c r="F31" i="1"/>
  <c r="D32" i="1"/>
  <c r="D70" i="1" s="1"/>
  <c r="E32" i="1"/>
  <c r="F32" i="1"/>
  <c r="D33" i="1"/>
  <c r="D71" i="1" s="1"/>
  <c r="E33" i="1"/>
  <c r="F33" i="1"/>
  <c r="D34" i="1"/>
  <c r="D72" i="1" s="1"/>
  <c r="E34" i="1"/>
  <c r="F34" i="1"/>
  <c r="D35" i="1"/>
  <c r="D73" i="1" s="1"/>
  <c r="E35" i="1"/>
  <c r="F35" i="1"/>
  <c r="AN79" i="7" l="1"/>
  <c r="AP79" i="7"/>
  <c r="Y111" i="7"/>
  <c r="AM79" i="7"/>
  <c r="Y37" i="7"/>
  <c r="S22" i="8"/>
  <c r="L22" i="8"/>
  <c r="T22" i="8" s="1"/>
  <c r="S21" i="8"/>
  <c r="L21" i="8"/>
  <c r="T21" i="8" s="1"/>
  <c r="AA71" i="7"/>
  <c r="M29" i="7"/>
  <c r="K30" i="8"/>
  <c r="K36" i="7"/>
  <c r="M36" i="7" s="1"/>
  <c r="K28" i="8"/>
  <c r="M28" i="7"/>
  <c r="K29" i="8"/>
  <c r="Y71" i="7"/>
  <c r="Z79" i="7"/>
  <c r="AM111" i="7"/>
  <c r="AP119" i="7"/>
  <c r="AO119" i="7"/>
  <c r="M119" i="7"/>
  <c r="Z37" i="7"/>
  <c r="AO39" i="7"/>
  <c r="M111" i="7"/>
  <c r="AO79" i="7"/>
  <c r="K71" i="7"/>
  <c r="M71" i="7" s="1"/>
  <c r="AM39" i="7"/>
  <c r="F72" i="1"/>
  <c r="E71" i="1"/>
  <c r="C37" i="8" s="1"/>
  <c r="F68" i="1"/>
  <c r="AN39" i="7"/>
  <c r="AB37" i="7"/>
  <c r="AB38" i="7"/>
  <c r="AA119" i="7"/>
  <c r="K111" i="7"/>
  <c r="AA27" i="7"/>
  <c r="AA36" i="7" s="1"/>
  <c r="Y30" i="7"/>
  <c r="Z111" i="7"/>
  <c r="AP111" i="7"/>
  <c r="Y36" i="7"/>
  <c r="Y119" i="7"/>
  <c r="AB71" i="7"/>
  <c r="M27" i="7"/>
  <c r="K30" i="7"/>
  <c r="K119" i="7"/>
  <c r="Y38" i="7"/>
  <c r="Z38" i="7"/>
  <c r="Z39" i="7" s="1"/>
  <c r="AB39" i="7" s="1"/>
  <c r="Z30" i="7"/>
  <c r="AB27" i="7"/>
  <c r="AB36" i="7" s="1"/>
  <c r="Z71" i="7"/>
  <c r="AB79" i="7"/>
  <c r="AA38" i="7"/>
  <c r="AA79" i="7"/>
  <c r="AO14" i="7"/>
  <c r="AO31" i="7" s="1"/>
  <c r="AM31" i="7"/>
  <c r="AN71" i="7"/>
  <c r="AP71" i="7"/>
  <c r="AN119" i="7"/>
  <c r="AA37" i="7"/>
  <c r="AB111" i="7"/>
  <c r="AO71" i="7"/>
  <c r="K37" i="7"/>
  <c r="M37" i="7" s="1"/>
  <c r="AP39" i="7"/>
  <c r="AP14" i="7"/>
  <c r="AP31" i="7" s="1"/>
  <c r="AN31" i="7"/>
  <c r="AN111" i="7"/>
  <c r="AM71" i="7"/>
  <c r="AO111" i="7"/>
  <c r="F71" i="1"/>
  <c r="E70" i="1"/>
  <c r="C36" i="8" s="1"/>
  <c r="F67" i="1"/>
  <c r="E73" i="1"/>
  <c r="C39" i="8" s="1"/>
  <c r="E67" i="1"/>
  <c r="C33" i="8" s="1"/>
  <c r="F70" i="1"/>
  <c r="E69" i="1"/>
  <c r="C35" i="8" s="1"/>
  <c r="F73" i="1"/>
  <c r="E72" i="1"/>
  <c r="C38" i="8" s="1"/>
  <c r="F69" i="1"/>
  <c r="E68" i="1"/>
  <c r="C34" i="8" s="1"/>
  <c r="N29" i="1"/>
  <c r="M29" i="1"/>
  <c r="W29" i="1"/>
  <c r="Y29" i="1"/>
  <c r="P29" i="1"/>
  <c r="O29" i="1"/>
  <c r="Z29" i="1"/>
  <c r="Y30" i="1"/>
  <c r="Z30" i="1"/>
  <c r="Y31" i="1"/>
  <c r="Z31" i="1"/>
  <c r="Y32" i="1"/>
  <c r="Z32" i="1"/>
  <c r="Y33" i="1"/>
  <c r="Z33" i="1"/>
  <c r="Y34" i="1"/>
  <c r="Z34" i="1"/>
  <c r="Y35" i="1"/>
  <c r="Z35" i="1"/>
  <c r="O30" i="1"/>
  <c r="P30" i="1"/>
  <c r="O31" i="1"/>
  <c r="P31" i="1"/>
  <c r="O32" i="1"/>
  <c r="P32" i="1"/>
  <c r="O33" i="1"/>
  <c r="P33" i="1"/>
  <c r="O34" i="1"/>
  <c r="P34" i="1"/>
  <c r="O35" i="1"/>
  <c r="P35" i="1"/>
  <c r="O27" i="1"/>
  <c r="P27" i="1"/>
  <c r="O19" i="1"/>
  <c r="P19" i="1"/>
  <c r="O11" i="1"/>
  <c r="P11" i="1"/>
  <c r="Y27" i="1"/>
  <c r="Z27" i="1"/>
  <c r="Y19" i="1"/>
  <c r="Z19" i="1"/>
  <c r="Y11" i="1"/>
  <c r="Z11" i="1"/>
  <c r="K39" i="7" l="1"/>
  <c r="M39" i="7" s="1"/>
  <c r="S29" i="8"/>
  <c r="L29" i="8"/>
  <c r="T29" i="8" s="1"/>
  <c r="S30" i="8"/>
  <c r="L30" i="8"/>
  <c r="T30" i="8" s="1"/>
  <c r="S28" i="8"/>
  <c r="L28" i="8"/>
  <c r="T28" i="8" s="1"/>
  <c r="U152" i="7"/>
  <c r="AK152" i="7"/>
  <c r="P38" i="8"/>
  <c r="Q38" i="8"/>
  <c r="M38" i="8"/>
  <c r="M35" i="8"/>
  <c r="Q35" i="8"/>
  <c r="P35" i="8"/>
  <c r="Q37" i="8"/>
  <c r="P37" i="8"/>
  <c r="M37" i="8"/>
  <c r="M33" i="8"/>
  <c r="P33" i="8"/>
  <c r="Q33" i="8"/>
  <c r="Q39" i="8"/>
  <c r="P39" i="8"/>
  <c r="M39" i="8"/>
  <c r="P34" i="8"/>
  <c r="M34" i="8"/>
  <c r="Q34" i="8"/>
  <c r="Q36" i="8"/>
  <c r="M36" i="8"/>
  <c r="P36" i="8"/>
  <c r="S67" i="1"/>
  <c r="Z31" i="7"/>
  <c r="AB30" i="7"/>
  <c r="AB31" i="7" s="1"/>
  <c r="Y39" i="7"/>
  <c r="AA39" i="7" s="1"/>
  <c r="M30" i="7"/>
  <c r="K31" i="7"/>
  <c r="M31" i="7" s="1"/>
  <c r="AA30" i="7"/>
  <c r="AA31" i="7" s="1"/>
  <c r="Y31" i="7"/>
  <c r="AB67" i="1"/>
  <c r="AA22" i="4"/>
  <c r="AA38" i="4"/>
  <c r="Z78" i="4" s="1"/>
  <c r="AC78" i="4" s="1"/>
  <c r="AF78" i="4" s="1"/>
  <c r="AA36" i="4"/>
  <c r="AA34" i="4"/>
  <c r="AA32" i="4"/>
  <c r="Z72" i="4" s="1"/>
  <c r="AC72" i="4" s="1"/>
  <c r="AF72" i="4" s="1"/>
  <c r="R67" i="1"/>
  <c r="AB14" i="4"/>
  <c r="AA14" i="4"/>
  <c r="AA37" i="4"/>
  <c r="AA33" i="4"/>
  <c r="AB30" i="4"/>
  <c r="AB37" i="4"/>
  <c r="AB33" i="4"/>
  <c r="AA30" i="4"/>
  <c r="AB22" i="4"/>
  <c r="AB36" i="4"/>
  <c r="AB34" i="4"/>
  <c r="AJ32" i="6"/>
  <c r="AO32" i="6"/>
  <c r="AP32" i="6"/>
  <c r="AI32" i="6"/>
  <c r="U32" i="6"/>
  <c r="AB32" i="6"/>
  <c r="AA32" i="6"/>
  <c r="V32" i="6"/>
  <c r="AJ32" i="5"/>
  <c r="AI32" i="5"/>
  <c r="AO32" i="5"/>
  <c r="AP32" i="5"/>
  <c r="AB32" i="5"/>
  <c r="AA32" i="5"/>
  <c r="U32" i="5"/>
  <c r="V32" i="5"/>
  <c r="O36" i="1"/>
  <c r="P36" i="1"/>
  <c r="Z36" i="1"/>
  <c r="Y36" i="1"/>
  <c r="P28" i="1"/>
  <c r="O28" i="1"/>
  <c r="Z28" i="1"/>
  <c r="Y28" i="1"/>
  <c r="G27" i="1"/>
  <c r="X29" i="1"/>
  <c r="M30" i="1"/>
  <c r="U153" i="7" s="1"/>
  <c r="N30" i="1"/>
  <c r="W30" i="1"/>
  <c r="AK153" i="7" s="1"/>
  <c r="X30" i="1"/>
  <c r="AC68" i="1" s="1"/>
  <c r="M31" i="1"/>
  <c r="N31" i="1"/>
  <c r="W31" i="1"/>
  <c r="AK154" i="7" s="1"/>
  <c r="X31" i="1"/>
  <c r="AC69" i="1" s="1"/>
  <c r="M32" i="1"/>
  <c r="N32" i="1"/>
  <c r="W32" i="1"/>
  <c r="AK155" i="7" s="1"/>
  <c r="X32" i="1"/>
  <c r="AC70" i="1" s="1"/>
  <c r="M33" i="1"/>
  <c r="N33" i="1"/>
  <c r="W33" i="1"/>
  <c r="X33" i="1"/>
  <c r="AC71" i="1" s="1"/>
  <c r="M34" i="1"/>
  <c r="N34" i="1"/>
  <c r="W34" i="1"/>
  <c r="AK157" i="7" s="1"/>
  <c r="X34" i="1"/>
  <c r="M35" i="1"/>
  <c r="N35" i="1"/>
  <c r="W35" i="1"/>
  <c r="AK158" i="7" s="1"/>
  <c r="X35" i="1"/>
  <c r="AC73" i="1" s="1"/>
  <c r="G30" i="1"/>
  <c r="G31" i="1"/>
  <c r="G32" i="1"/>
  <c r="G33" i="1"/>
  <c r="G34" i="1"/>
  <c r="G35" i="1"/>
  <c r="G29" i="1"/>
  <c r="X11" i="1"/>
  <c r="W11" i="1"/>
  <c r="AK134" i="7" s="1"/>
  <c r="M11" i="1"/>
  <c r="U134" i="7" s="1"/>
  <c r="N11" i="1"/>
  <c r="G11" i="1"/>
  <c r="F11" i="1"/>
  <c r="E11" i="1"/>
  <c r="D11" i="1"/>
  <c r="D49" i="1" s="1"/>
  <c r="X19" i="1"/>
  <c r="W19" i="1"/>
  <c r="AK142" i="7" s="1"/>
  <c r="M19" i="1"/>
  <c r="U142" i="7" s="1"/>
  <c r="N19" i="1"/>
  <c r="G19" i="1"/>
  <c r="F19" i="1"/>
  <c r="E19" i="1"/>
  <c r="D19" i="1"/>
  <c r="D57" i="1" s="1"/>
  <c r="E27" i="1"/>
  <c r="F27" i="1"/>
  <c r="N27" i="1"/>
  <c r="M27" i="1"/>
  <c r="W27" i="1"/>
  <c r="X27" i="1"/>
  <c r="AC65" i="1" s="1"/>
  <c r="D27" i="1"/>
  <c r="D65" i="1" s="1"/>
  <c r="K23" i="8" l="1"/>
  <c r="G23" i="8"/>
  <c r="F23" i="8"/>
  <c r="K15" i="8"/>
  <c r="G15" i="8"/>
  <c r="F15" i="8"/>
  <c r="J15" i="8" s="1"/>
  <c r="E32" i="8"/>
  <c r="I32" i="8"/>
  <c r="H32" i="8"/>
  <c r="K37" i="8"/>
  <c r="S37" i="8" s="1"/>
  <c r="G37" i="8"/>
  <c r="O37" i="8" s="1"/>
  <c r="F37" i="8"/>
  <c r="K38" i="8"/>
  <c r="S38" i="8" s="1"/>
  <c r="G38" i="8"/>
  <c r="O38" i="8" s="1"/>
  <c r="F38" i="8"/>
  <c r="F36" i="8"/>
  <c r="K36" i="8"/>
  <c r="S36" i="8" s="1"/>
  <c r="G36" i="8"/>
  <c r="O36" i="8" s="1"/>
  <c r="G33" i="8"/>
  <c r="O33" i="8" s="1"/>
  <c r="F33" i="8"/>
  <c r="K33" i="8"/>
  <c r="S33" i="8" s="1"/>
  <c r="E40" i="8" a="1"/>
  <c r="E40" i="8" s="1"/>
  <c r="H40" i="8" a="1"/>
  <c r="H40" i="8" s="1"/>
  <c r="I40" i="8" a="1"/>
  <c r="I40" i="8" s="1"/>
  <c r="AK156" i="7"/>
  <c r="G31" i="8"/>
  <c r="K31" i="8"/>
  <c r="F31" i="8"/>
  <c r="K39" i="8"/>
  <c r="S39" i="8" s="1"/>
  <c r="G39" i="8"/>
  <c r="O39" i="8" s="1"/>
  <c r="F39" i="8"/>
  <c r="K35" i="8"/>
  <c r="S35" i="8" s="1"/>
  <c r="G35" i="8"/>
  <c r="O35" i="8" s="1"/>
  <c r="F35" i="8"/>
  <c r="U156" i="7"/>
  <c r="K34" i="8"/>
  <c r="S34" i="8" s="1"/>
  <c r="G34" i="8"/>
  <c r="O34" i="8" s="1"/>
  <c r="F34" i="8"/>
  <c r="N65" i="1"/>
  <c r="M65" i="1"/>
  <c r="U150" i="7"/>
  <c r="C75" i="5"/>
  <c r="D75" i="5"/>
  <c r="C155" i="7"/>
  <c r="J70" i="1"/>
  <c r="H70" i="1"/>
  <c r="I70" i="1"/>
  <c r="K70" i="1"/>
  <c r="T67" i="1"/>
  <c r="U67" i="1" s="1"/>
  <c r="V67" i="1" s="1"/>
  <c r="C154" i="7"/>
  <c r="D74" i="5"/>
  <c r="C74" i="5"/>
  <c r="J69" i="1"/>
  <c r="I69" i="1"/>
  <c r="K69" i="1"/>
  <c r="H69" i="1"/>
  <c r="R73" i="1"/>
  <c r="U158" i="7"/>
  <c r="R72" i="1"/>
  <c r="U157" i="7"/>
  <c r="R70" i="1"/>
  <c r="U155" i="7"/>
  <c r="C152" i="7"/>
  <c r="D72" i="5"/>
  <c r="C72" i="5"/>
  <c r="J67" i="1"/>
  <c r="H67" i="1"/>
  <c r="K67" i="1"/>
  <c r="I67" i="1"/>
  <c r="C150" i="7"/>
  <c r="D70" i="5"/>
  <c r="C70" i="5"/>
  <c r="K65" i="1"/>
  <c r="I65" i="1"/>
  <c r="H65" i="1"/>
  <c r="J65" i="1"/>
  <c r="D77" i="5"/>
  <c r="C157" i="7"/>
  <c r="C77" i="5"/>
  <c r="H72" i="1"/>
  <c r="J72" i="1"/>
  <c r="K72" i="1"/>
  <c r="I72" i="1"/>
  <c r="R69" i="1"/>
  <c r="U154" i="7"/>
  <c r="AB65" i="1"/>
  <c r="AK150" i="7"/>
  <c r="C62" i="5"/>
  <c r="D62" i="5"/>
  <c r="C142" i="7"/>
  <c r="I57" i="1"/>
  <c r="H57" i="1"/>
  <c r="J57" i="1"/>
  <c r="K57" i="1"/>
  <c r="C54" i="5"/>
  <c r="D54" i="5"/>
  <c r="C134" i="7"/>
  <c r="H49" i="1"/>
  <c r="J49" i="1"/>
  <c r="I49" i="1"/>
  <c r="K49" i="1"/>
  <c r="C76" i="5"/>
  <c r="D76" i="5"/>
  <c r="C156" i="7"/>
  <c r="I71" i="1"/>
  <c r="K71" i="1"/>
  <c r="J71" i="1"/>
  <c r="H71" i="1"/>
  <c r="C153" i="7"/>
  <c r="D73" i="5"/>
  <c r="C73" i="5"/>
  <c r="K68" i="1"/>
  <c r="J68" i="1"/>
  <c r="H68" i="1"/>
  <c r="I68" i="1"/>
  <c r="E57" i="1"/>
  <c r="C23" i="8" s="1"/>
  <c r="E49" i="1"/>
  <c r="C15" i="8" s="1"/>
  <c r="D78" i="5"/>
  <c r="C78" i="5"/>
  <c r="C158" i="7"/>
  <c r="I73" i="1"/>
  <c r="H73" i="1"/>
  <c r="K73" i="1"/>
  <c r="J73" i="1"/>
  <c r="Z74" i="4"/>
  <c r="AC74" i="4" s="1"/>
  <c r="AF74" i="4" s="1"/>
  <c r="AD72" i="5"/>
  <c r="AG72" i="5" s="1"/>
  <c r="AJ72" i="5" s="1"/>
  <c r="AL72" i="5"/>
  <c r="AO72" i="5" s="1"/>
  <c r="AR72" i="5" s="1"/>
  <c r="Z62" i="4"/>
  <c r="V72" i="5"/>
  <c r="Y72" i="5" s="1"/>
  <c r="AB72" i="5" s="1"/>
  <c r="AT72" i="5"/>
  <c r="AW72" i="5" s="1"/>
  <c r="AZ72" i="5" s="1"/>
  <c r="F65" i="1"/>
  <c r="W57" i="1"/>
  <c r="W49" i="1"/>
  <c r="M71" i="1"/>
  <c r="Z70" i="4"/>
  <c r="AB57" i="1"/>
  <c r="Z76" i="4"/>
  <c r="AC76" i="4" s="1"/>
  <c r="AF76" i="4" s="1"/>
  <c r="N57" i="1"/>
  <c r="N49" i="1"/>
  <c r="W72" i="1"/>
  <c r="W71" i="1"/>
  <c r="W68" i="1"/>
  <c r="M57" i="1"/>
  <c r="M49" i="1"/>
  <c r="N72" i="1"/>
  <c r="N71" i="1"/>
  <c r="N70" i="1"/>
  <c r="N68" i="1"/>
  <c r="AB49" i="1"/>
  <c r="AD65" i="1"/>
  <c r="AE65" i="1" s="1"/>
  <c r="AF65" i="1" s="1"/>
  <c r="G69" i="1"/>
  <c r="C74" i="6"/>
  <c r="D74" i="6"/>
  <c r="G67" i="1"/>
  <c r="C72" i="6"/>
  <c r="D72" i="6"/>
  <c r="G70" i="1"/>
  <c r="D75" i="6"/>
  <c r="C75" i="6"/>
  <c r="W73" i="1"/>
  <c r="W70" i="1"/>
  <c r="W69" i="1"/>
  <c r="G65" i="1"/>
  <c r="C70" i="6"/>
  <c r="D70" i="6"/>
  <c r="AB31" i="4"/>
  <c r="AA39" i="4"/>
  <c r="S57" i="1"/>
  <c r="AB68" i="1"/>
  <c r="AD68" i="1" s="1"/>
  <c r="AE68" i="1" s="1"/>
  <c r="AF68" i="1" s="1"/>
  <c r="Z73" i="4"/>
  <c r="AC73" i="4" s="1"/>
  <c r="AF73" i="4" s="1"/>
  <c r="Z54" i="4"/>
  <c r="S49" i="1"/>
  <c r="G73" i="1"/>
  <c r="C78" i="6"/>
  <c r="D78" i="6"/>
  <c r="N73" i="1"/>
  <c r="N69" i="1"/>
  <c r="S72" i="1"/>
  <c r="T72" i="1" s="1"/>
  <c r="U72" i="1" s="1"/>
  <c r="V72" i="1" s="1"/>
  <c r="N67" i="1"/>
  <c r="AB69" i="1"/>
  <c r="AD69" i="1" s="1"/>
  <c r="AE69" i="1" s="1"/>
  <c r="AF69" i="1" s="1"/>
  <c r="AL72" i="6"/>
  <c r="AO72" i="6" s="1"/>
  <c r="AR72" i="6" s="1"/>
  <c r="W67" i="1"/>
  <c r="AB70" i="1"/>
  <c r="AD70" i="1" s="1"/>
  <c r="AE70" i="1" s="1"/>
  <c r="AF70" i="1" s="1"/>
  <c r="Z77" i="4"/>
  <c r="AC77" i="4" s="1"/>
  <c r="AF77" i="4" s="1"/>
  <c r="M67" i="1"/>
  <c r="AB71" i="1"/>
  <c r="AD71" i="1" s="1"/>
  <c r="AE71" i="1" s="1"/>
  <c r="AF71" i="1" s="1"/>
  <c r="R71" i="1"/>
  <c r="R57" i="1"/>
  <c r="S70" i="1"/>
  <c r="T70" i="1" s="1"/>
  <c r="U70" i="1" s="1"/>
  <c r="V70" i="1" s="1"/>
  <c r="S71" i="1"/>
  <c r="AB72" i="1"/>
  <c r="X65" i="1"/>
  <c r="F57" i="1"/>
  <c r="F49" i="1"/>
  <c r="G72" i="1"/>
  <c r="D77" i="6"/>
  <c r="C77" i="6"/>
  <c r="G68" i="1"/>
  <c r="C73" i="6"/>
  <c r="D73" i="6"/>
  <c r="M73" i="1"/>
  <c r="M72" i="1"/>
  <c r="O72" i="1" s="1"/>
  <c r="P72" i="1" s="1"/>
  <c r="Q72" i="1" s="1"/>
  <c r="M70" i="1"/>
  <c r="M69" i="1"/>
  <c r="M68" i="1"/>
  <c r="W65" i="1"/>
  <c r="E65" i="1"/>
  <c r="C31" i="8" s="1"/>
  <c r="G57" i="1"/>
  <c r="D62" i="6"/>
  <c r="C62" i="6"/>
  <c r="X57" i="1"/>
  <c r="G49" i="1"/>
  <c r="C54" i="6"/>
  <c r="D54" i="6"/>
  <c r="X49" i="1"/>
  <c r="G71" i="1"/>
  <c r="D76" i="6"/>
  <c r="C76" i="6"/>
  <c r="X73" i="1"/>
  <c r="X72" i="1"/>
  <c r="X71" i="1"/>
  <c r="X70" i="1"/>
  <c r="X69" i="1"/>
  <c r="X68" i="1"/>
  <c r="X67" i="1"/>
  <c r="AA31" i="4"/>
  <c r="AB39" i="4"/>
  <c r="AD72" i="6"/>
  <c r="AG72" i="6" s="1"/>
  <c r="AJ72" i="6" s="1"/>
  <c r="AC67" i="1"/>
  <c r="AD67" i="1" s="1"/>
  <c r="AE67" i="1" s="1"/>
  <c r="AF67" i="1" s="1"/>
  <c r="S69" i="1"/>
  <c r="S73" i="1"/>
  <c r="AC49" i="1"/>
  <c r="R65" i="1"/>
  <c r="S68" i="1"/>
  <c r="S65" i="1"/>
  <c r="R68" i="1"/>
  <c r="R49" i="1"/>
  <c r="AC72" i="1"/>
  <c r="AB73" i="1"/>
  <c r="AD73" i="1" s="1"/>
  <c r="AE73" i="1" s="1"/>
  <c r="AF73" i="1" s="1"/>
  <c r="AC57" i="1"/>
  <c r="AT72" i="6"/>
  <c r="AW72" i="6" s="1"/>
  <c r="AZ72" i="6" s="1"/>
  <c r="V72" i="6"/>
  <c r="Y72" i="6" s="1"/>
  <c r="AB72" i="6" s="1"/>
  <c r="AI22" i="6"/>
  <c r="AO22" i="6"/>
  <c r="AP22" i="6"/>
  <c r="AJ22" i="6"/>
  <c r="N37" i="6"/>
  <c r="G37" i="6"/>
  <c r="H37" i="6"/>
  <c r="M37" i="6"/>
  <c r="N33" i="6"/>
  <c r="G33" i="6"/>
  <c r="H33" i="6"/>
  <c r="M33" i="6"/>
  <c r="AB38" i="6"/>
  <c r="U38" i="6"/>
  <c r="V38" i="6"/>
  <c r="AA38" i="6"/>
  <c r="AB36" i="6"/>
  <c r="U36" i="6"/>
  <c r="AA36" i="6"/>
  <c r="V36" i="6"/>
  <c r="AA35" i="6"/>
  <c r="V35" i="6"/>
  <c r="AB35" i="6"/>
  <c r="U35" i="6"/>
  <c r="AB34" i="6"/>
  <c r="U34" i="6"/>
  <c r="V34" i="6"/>
  <c r="AA34" i="6"/>
  <c r="AA33" i="6"/>
  <c r="V33" i="6"/>
  <c r="AB33" i="6"/>
  <c r="U33" i="6"/>
  <c r="AP30" i="6"/>
  <c r="AJ30" i="6"/>
  <c r="AI30" i="6"/>
  <c r="AO30" i="6"/>
  <c r="G22" i="6"/>
  <c r="M22" i="6"/>
  <c r="N22" i="6"/>
  <c r="H22" i="6"/>
  <c r="M14" i="6"/>
  <c r="G14" i="6"/>
  <c r="N14" i="6"/>
  <c r="H14" i="6"/>
  <c r="M36" i="6"/>
  <c r="H36" i="6"/>
  <c r="N36" i="6"/>
  <c r="G36" i="6"/>
  <c r="U30" i="6"/>
  <c r="AA30" i="6"/>
  <c r="V30" i="6"/>
  <c r="AB30" i="6"/>
  <c r="H32" i="6"/>
  <c r="M32" i="6"/>
  <c r="G32" i="6"/>
  <c r="N32" i="6"/>
  <c r="N35" i="6"/>
  <c r="G35" i="6"/>
  <c r="M35" i="6"/>
  <c r="H35" i="6"/>
  <c r="AO38" i="6"/>
  <c r="AJ38" i="6"/>
  <c r="AP38" i="6"/>
  <c r="AI38" i="6"/>
  <c r="AP37" i="6"/>
  <c r="AI37" i="6"/>
  <c r="AO37" i="6"/>
  <c r="AJ37" i="6"/>
  <c r="AO36" i="6"/>
  <c r="AJ36" i="6"/>
  <c r="AI36" i="6"/>
  <c r="AP36" i="6"/>
  <c r="AP35" i="6"/>
  <c r="AI35" i="6"/>
  <c r="AJ35" i="6"/>
  <c r="AO35" i="6"/>
  <c r="AO34" i="6"/>
  <c r="AJ34" i="6"/>
  <c r="AI34" i="6"/>
  <c r="AP34" i="6"/>
  <c r="AP33" i="6"/>
  <c r="AI33" i="6"/>
  <c r="AO33" i="6"/>
  <c r="AJ33" i="6"/>
  <c r="N30" i="6"/>
  <c r="H30" i="6"/>
  <c r="M30" i="6"/>
  <c r="G30" i="6"/>
  <c r="AP14" i="6"/>
  <c r="AJ14" i="6"/>
  <c r="AO14" i="6"/>
  <c r="AI14" i="6"/>
  <c r="AA37" i="6"/>
  <c r="V37" i="6"/>
  <c r="AB37" i="6"/>
  <c r="U37" i="6"/>
  <c r="AB22" i="6"/>
  <c r="V22" i="6"/>
  <c r="U22" i="6"/>
  <c r="AA22" i="6"/>
  <c r="AA14" i="6"/>
  <c r="V14" i="6"/>
  <c r="AB14" i="6"/>
  <c r="U14" i="6"/>
  <c r="M38" i="6"/>
  <c r="H38" i="6"/>
  <c r="G38" i="6"/>
  <c r="N38" i="6"/>
  <c r="M34" i="6"/>
  <c r="H34" i="6"/>
  <c r="N34" i="6"/>
  <c r="G34" i="6"/>
  <c r="U30" i="5"/>
  <c r="V30" i="5"/>
  <c r="AB30" i="5"/>
  <c r="AA30" i="5"/>
  <c r="H32" i="5"/>
  <c r="G32" i="5"/>
  <c r="N32" i="5"/>
  <c r="C72" i="4"/>
  <c r="M32" i="5"/>
  <c r="AP37" i="5"/>
  <c r="AO37" i="5"/>
  <c r="AI37" i="5"/>
  <c r="AJ37" i="5"/>
  <c r="V22" i="5"/>
  <c r="AB22" i="5"/>
  <c r="U22" i="5"/>
  <c r="AA22" i="5"/>
  <c r="V14" i="5"/>
  <c r="AA14" i="5"/>
  <c r="U14" i="5"/>
  <c r="AB14" i="5"/>
  <c r="H38" i="5"/>
  <c r="G38" i="5"/>
  <c r="M38" i="5"/>
  <c r="C78" i="4"/>
  <c r="N38" i="5"/>
  <c r="H34" i="5"/>
  <c r="G34" i="5"/>
  <c r="N34" i="5"/>
  <c r="C74" i="4"/>
  <c r="M34" i="5"/>
  <c r="AI22" i="5"/>
  <c r="AJ22" i="5"/>
  <c r="AP22" i="5"/>
  <c r="AO22" i="5"/>
  <c r="AJ14" i="5"/>
  <c r="AP14" i="5"/>
  <c r="AI14" i="5"/>
  <c r="AO14" i="5"/>
  <c r="N37" i="5"/>
  <c r="C77" i="4"/>
  <c r="M37" i="5"/>
  <c r="H37" i="5"/>
  <c r="G37" i="5"/>
  <c r="N33" i="5"/>
  <c r="M33" i="5"/>
  <c r="H33" i="5"/>
  <c r="C73" i="4"/>
  <c r="G33" i="5"/>
  <c r="AB38" i="5"/>
  <c r="AA38" i="5"/>
  <c r="U38" i="5"/>
  <c r="V38" i="5"/>
  <c r="V37" i="5"/>
  <c r="U37" i="5"/>
  <c r="AB37" i="5"/>
  <c r="AA37" i="5"/>
  <c r="AB36" i="5"/>
  <c r="AA36" i="5"/>
  <c r="U36" i="5"/>
  <c r="V36" i="5"/>
  <c r="V35" i="5"/>
  <c r="U35" i="5"/>
  <c r="AA35" i="5"/>
  <c r="AB35" i="5"/>
  <c r="AB34" i="5"/>
  <c r="AA34" i="5"/>
  <c r="V34" i="5"/>
  <c r="U34" i="5"/>
  <c r="V33" i="5"/>
  <c r="U33" i="5"/>
  <c r="AA33" i="5"/>
  <c r="AB33" i="5"/>
  <c r="AJ30" i="5"/>
  <c r="AO30" i="5"/>
  <c r="AP30" i="5"/>
  <c r="AI30" i="5"/>
  <c r="C62" i="4"/>
  <c r="G22" i="5"/>
  <c r="H22" i="5"/>
  <c r="M22" i="5"/>
  <c r="N22" i="5"/>
  <c r="H14" i="5"/>
  <c r="M14" i="5"/>
  <c r="N14" i="5"/>
  <c r="G14" i="5"/>
  <c r="C54" i="4"/>
  <c r="H36" i="5"/>
  <c r="G36" i="5"/>
  <c r="M36" i="5"/>
  <c r="C76" i="4"/>
  <c r="N36" i="5"/>
  <c r="C75" i="4"/>
  <c r="N35" i="5"/>
  <c r="M35" i="5"/>
  <c r="G35" i="5"/>
  <c r="H35" i="5"/>
  <c r="AJ38" i="5"/>
  <c r="AI38" i="5"/>
  <c r="AO38" i="5"/>
  <c r="AP38" i="5"/>
  <c r="AJ36" i="5"/>
  <c r="AI36" i="5"/>
  <c r="AP36" i="5"/>
  <c r="AO36" i="5"/>
  <c r="AP35" i="5"/>
  <c r="AO35" i="5"/>
  <c r="AI35" i="5"/>
  <c r="AJ35" i="5"/>
  <c r="AJ34" i="5"/>
  <c r="AI34" i="5"/>
  <c r="AP34" i="5"/>
  <c r="AO34" i="5"/>
  <c r="AP33" i="5"/>
  <c r="AO33" i="5"/>
  <c r="AJ33" i="5"/>
  <c r="AI33" i="5"/>
  <c r="H30" i="5"/>
  <c r="N30" i="5"/>
  <c r="G30" i="5"/>
  <c r="M30" i="5"/>
  <c r="C70" i="4"/>
  <c r="F36" i="1"/>
  <c r="D36" i="1"/>
  <c r="D74" i="1" s="1"/>
  <c r="E36" i="1"/>
  <c r="W36" i="1"/>
  <c r="M36" i="1"/>
  <c r="U159" i="7" s="1"/>
  <c r="D28" i="1"/>
  <c r="D66" i="1" s="1"/>
  <c r="N36" i="1"/>
  <c r="F28" i="1"/>
  <c r="E28" i="1"/>
  <c r="W28" i="1"/>
  <c r="AK151" i="7" s="1"/>
  <c r="X28" i="1"/>
  <c r="X36" i="1"/>
  <c r="AC74" i="1" s="1"/>
  <c r="N28" i="1"/>
  <c r="G28" i="1"/>
  <c r="G36" i="1"/>
  <c r="M28" i="1"/>
  <c r="U151" i="7" s="1"/>
  <c r="L15" i="8" l="1"/>
  <c r="J23" i="8"/>
  <c r="L23" i="8" s="1"/>
  <c r="T23" i="8" s="1"/>
  <c r="J31" i="8"/>
  <c r="L31" i="8" s="1"/>
  <c r="K40" i="8"/>
  <c r="G40" i="8"/>
  <c r="F40" i="8"/>
  <c r="J35" i="8"/>
  <c r="N35" i="8"/>
  <c r="J37" i="8"/>
  <c r="N37" i="8"/>
  <c r="J33" i="8"/>
  <c r="N33" i="8"/>
  <c r="J38" i="8"/>
  <c r="N38" i="8"/>
  <c r="F32" i="8"/>
  <c r="K32" i="8"/>
  <c r="G32" i="8"/>
  <c r="O68" i="1"/>
  <c r="P68" i="1" s="1"/>
  <c r="Q68" i="1" s="1"/>
  <c r="J34" i="8"/>
  <c r="N34" i="8"/>
  <c r="J39" i="8"/>
  <c r="N39" i="8"/>
  <c r="J36" i="8"/>
  <c r="N36" i="8"/>
  <c r="J32" i="8"/>
  <c r="Q15" i="8"/>
  <c r="T15" i="8"/>
  <c r="O15" i="8"/>
  <c r="N15" i="8"/>
  <c r="M15" i="8"/>
  <c r="S15" i="8"/>
  <c r="R15" i="8"/>
  <c r="P15" i="8"/>
  <c r="R23" i="8"/>
  <c r="M23" i="8"/>
  <c r="N23" i="8"/>
  <c r="Q23" i="8"/>
  <c r="P23" i="8"/>
  <c r="S23" i="8"/>
  <c r="O23" i="8"/>
  <c r="T73" i="1"/>
  <c r="U73" i="1" s="1"/>
  <c r="V73" i="1" s="1"/>
  <c r="Q31" i="8"/>
  <c r="O31" i="8"/>
  <c r="R31" i="8"/>
  <c r="M31" i="8"/>
  <c r="S31" i="8"/>
  <c r="P31" i="8"/>
  <c r="T31" i="8"/>
  <c r="N31" i="8"/>
  <c r="O65" i="1"/>
  <c r="P65" i="1" s="1"/>
  <c r="Q65" i="1" s="1"/>
  <c r="AC70" i="4"/>
  <c r="AF70" i="4" s="1"/>
  <c r="AC54" i="4"/>
  <c r="AF54" i="4" s="1"/>
  <c r="AL74" i="5"/>
  <c r="AO74" i="5" s="1"/>
  <c r="AR74" i="5" s="1"/>
  <c r="AL76" i="5"/>
  <c r="AO76" i="5" s="1"/>
  <c r="AR76" i="5" s="1"/>
  <c r="N75" i="5"/>
  <c r="Q75" i="5" s="1"/>
  <c r="T75" i="5" s="1"/>
  <c r="V73" i="5"/>
  <c r="Y73" i="5" s="1"/>
  <c r="AB73" i="5" s="1"/>
  <c r="V75" i="5"/>
  <c r="Y75" i="5" s="1"/>
  <c r="AB75" i="5" s="1"/>
  <c r="V77" i="5"/>
  <c r="Y77" i="5" s="1"/>
  <c r="AB77" i="5" s="1"/>
  <c r="F78" i="5"/>
  <c r="I78" i="5" s="1"/>
  <c r="L78" i="5" s="1"/>
  <c r="AC62" i="4"/>
  <c r="AF62" i="4" s="1"/>
  <c r="F70" i="5"/>
  <c r="I70" i="5" s="1"/>
  <c r="L70" i="5" s="1"/>
  <c r="V62" i="5"/>
  <c r="Y62" i="5" s="1"/>
  <c r="AB62" i="5" s="1"/>
  <c r="AD73" i="5"/>
  <c r="AG73" i="5" s="1"/>
  <c r="AJ73" i="5" s="1"/>
  <c r="AT54" i="5"/>
  <c r="AW54" i="5" s="1"/>
  <c r="AZ54" i="5" s="1"/>
  <c r="N74" i="5"/>
  <c r="Q74" i="5" s="1"/>
  <c r="T74" i="5" s="1"/>
  <c r="F75" i="5"/>
  <c r="AD75" i="5"/>
  <c r="AG75" i="5" s="1"/>
  <c r="AJ75" i="5" s="1"/>
  <c r="AL62" i="5"/>
  <c r="AO62" i="5" s="1"/>
  <c r="AR62" i="5" s="1"/>
  <c r="N78" i="5"/>
  <c r="Q78" i="5" s="1"/>
  <c r="T78" i="5" s="1"/>
  <c r="AT73" i="5"/>
  <c r="AW73" i="5" s="1"/>
  <c r="AZ73" i="5" s="1"/>
  <c r="AT75" i="5"/>
  <c r="AW75" i="5" s="1"/>
  <c r="AZ75" i="5" s="1"/>
  <c r="AL78" i="5"/>
  <c r="AO78" i="5" s="1"/>
  <c r="AR78" i="5" s="1"/>
  <c r="AD74" i="5"/>
  <c r="AG74" i="5" s="1"/>
  <c r="AJ74" i="5" s="1"/>
  <c r="AD76" i="5"/>
  <c r="AG76" i="5" s="1"/>
  <c r="AJ76" i="5" s="1"/>
  <c r="AD78" i="5"/>
  <c r="AG78" i="5" s="1"/>
  <c r="AJ78" i="5" s="1"/>
  <c r="AT62" i="5"/>
  <c r="AW62" i="5" s="1"/>
  <c r="AZ62" i="5" s="1"/>
  <c r="AD54" i="5"/>
  <c r="AG54" i="5" s="1"/>
  <c r="AJ54" i="5" s="1"/>
  <c r="AT77" i="5"/>
  <c r="AW77" i="5" s="1"/>
  <c r="AZ77" i="5" s="1"/>
  <c r="AL75" i="5"/>
  <c r="AO75" i="5" s="1"/>
  <c r="AR75" i="5" s="1"/>
  <c r="AT78" i="5"/>
  <c r="AW78" i="5" s="1"/>
  <c r="AZ78" i="5" s="1"/>
  <c r="N54" i="5"/>
  <c r="Q54" i="5" s="1"/>
  <c r="T54" i="5" s="1"/>
  <c r="V76" i="5"/>
  <c r="Y76" i="5" s="1"/>
  <c r="AB76" i="5" s="1"/>
  <c r="V78" i="5"/>
  <c r="Y78" i="5" s="1"/>
  <c r="AB78" i="5" s="1"/>
  <c r="F77" i="5"/>
  <c r="I77" i="5" s="1"/>
  <c r="L77" i="5" s="1"/>
  <c r="F74" i="5"/>
  <c r="V54" i="5"/>
  <c r="Y54" i="5" s="1"/>
  <c r="AB54" i="5" s="1"/>
  <c r="AL77" i="5"/>
  <c r="AO77" i="5" s="1"/>
  <c r="AR77" i="5" s="1"/>
  <c r="AD70" i="5"/>
  <c r="AG70" i="5" s="1"/>
  <c r="AJ70" i="5" s="1"/>
  <c r="AB74" i="1"/>
  <c r="AD74" i="1" s="1"/>
  <c r="AE74" i="1" s="1"/>
  <c r="AF74" i="1" s="1"/>
  <c r="AK159" i="7"/>
  <c r="Y57" i="1"/>
  <c r="AL70" i="5"/>
  <c r="AO70" i="5" s="1"/>
  <c r="AR70" i="5" s="1"/>
  <c r="C71" i="5"/>
  <c r="D71" i="5"/>
  <c r="C151" i="7"/>
  <c r="I66" i="1"/>
  <c r="J66" i="1"/>
  <c r="H66" i="1"/>
  <c r="K66" i="1"/>
  <c r="AD57" i="1"/>
  <c r="AE57" i="1" s="1"/>
  <c r="AF57" i="1" s="1"/>
  <c r="T69" i="1"/>
  <c r="U69" i="1" s="1"/>
  <c r="V69" i="1" s="1"/>
  <c r="O71" i="1"/>
  <c r="P71" i="1" s="1"/>
  <c r="Q71" i="1" s="1"/>
  <c r="C79" i="5"/>
  <c r="D79" i="5"/>
  <c r="C159" i="7"/>
  <c r="K74" i="1"/>
  <c r="H74" i="1"/>
  <c r="I74" i="1"/>
  <c r="J74" i="1"/>
  <c r="N62" i="5"/>
  <c r="V70" i="5"/>
  <c r="Y70" i="5" s="1"/>
  <c r="AB70" i="5" s="1"/>
  <c r="F62" i="5"/>
  <c r="AT70" i="5"/>
  <c r="AW70" i="5" s="1"/>
  <c r="AZ70" i="5" s="1"/>
  <c r="N70" i="5"/>
  <c r="AL73" i="5"/>
  <c r="AO73" i="5" s="1"/>
  <c r="AR73" i="5" s="1"/>
  <c r="AT74" i="5"/>
  <c r="AW74" i="5" s="1"/>
  <c r="AZ74" i="5" s="1"/>
  <c r="AT76" i="5"/>
  <c r="AW76" i="5" s="1"/>
  <c r="AZ76" i="5" s="1"/>
  <c r="F76" i="5"/>
  <c r="V74" i="5"/>
  <c r="Y74" i="5" s="1"/>
  <c r="AB74" i="5" s="1"/>
  <c r="AD77" i="5"/>
  <c r="AG77" i="5" s="1"/>
  <c r="AJ77" i="5" s="1"/>
  <c r="F73" i="5"/>
  <c r="AD62" i="5"/>
  <c r="AG62" i="5" s="1"/>
  <c r="AJ62" i="5" s="1"/>
  <c r="N72" i="5"/>
  <c r="Z71" i="4"/>
  <c r="AC71" i="4" s="1"/>
  <c r="AF71" i="4" s="1"/>
  <c r="N76" i="5"/>
  <c r="F54" i="5"/>
  <c r="N73" i="5"/>
  <c r="N77" i="5"/>
  <c r="AL54" i="5"/>
  <c r="AO54" i="5" s="1"/>
  <c r="AR54" i="5" s="1"/>
  <c r="F72" i="5"/>
  <c r="F70" i="6"/>
  <c r="I70" i="6" s="1"/>
  <c r="L70" i="6" s="1"/>
  <c r="N77" i="6"/>
  <c r="Q77" i="6" s="1"/>
  <c r="T77" i="6" s="1"/>
  <c r="AL74" i="6"/>
  <c r="AO74" i="6" s="1"/>
  <c r="AR74" i="6" s="1"/>
  <c r="AL76" i="6"/>
  <c r="AO76" i="6" s="1"/>
  <c r="AR76" i="6" s="1"/>
  <c r="O69" i="1"/>
  <c r="P69" i="1" s="1"/>
  <c r="Q69" i="1" s="1"/>
  <c r="O57" i="1"/>
  <c r="Y49" i="1"/>
  <c r="Z79" i="4"/>
  <c r="AD49" i="1"/>
  <c r="AE49" i="1" s="1"/>
  <c r="AF49" i="1" s="1"/>
  <c r="O67" i="1"/>
  <c r="P67" i="1" s="1"/>
  <c r="Q67" i="1" s="1"/>
  <c r="X66" i="1"/>
  <c r="E74" i="1"/>
  <c r="C40" i="8" s="1"/>
  <c r="T71" i="1"/>
  <c r="U71" i="1" s="1"/>
  <c r="V71" i="1" s="1"/>
  <c r="Y68" i="1"/>
  <c r="Z68" i="1" s="1"/>
  <c r="AA68" i="1" s="1"/>
  <c r="Y71" i="1"/>
  <c r="Z71" i="1" s="1"/>
  <c r="AA71" i="1" s="1"/>
  <c r="F66" i="1"/>
  <c r="Y72" i="1"/>
  <c r="Z72" i="1" s="1"/>
  <c r="AA72" i="1" s="1"/>
  <c r="W66" i="1"/>
  <c r="Y65" i="1"/>
  <c r="Z65" i="1" s="1"/>
  <c r="AA65" i="1" s="1"/>
  <c r="O70" i="1"/>
  <c r="P70" i="1" s="1"/>
  <c r="Q70" i="1" s="1"/>
  <c r="O49" i="1"/>
  <c r="AD54" i="6"/>
  <c r="AG54" i="6" s="1"/>
  <c r="AJ54" i="6" s="1"/>
  <c r="AD77" i="6"/>
  <c r="AG77" i="6" s="1"/>
  <c r="AJ77" i="6" s="1"/>
  <c r="N70" i="6"/>
  <c r="Q70" i="6" s="1"/>
  <c r="T70" i="6" s="1"/>
  <c r="AT73" i="6"/>
  <c r="AW73" i="6" s="1"/>
  <c r="AZ73" i="6" s="1"/>
  <c r="AT77" i="6"/>
  <c r="AW77" i="6" s="1"/>
  <c r="AZ77" i="6" s="1"/>
  <c r="F72" i="6"/>
  <c r="I72" i="6" s="1"/>
  <c r="L72" i="6" s="1"/>
  <c r="F54" i="6"/>
  <c r="I54" i="6" s="1"/>
  <c r="L54" i="6" s="1"/>
  <c r="AD73" i="6"/>
  <c r="AG73" i="6" s="1"/>
  <c r="AJ73" i="6" s="1"/>
  <c r="AD75" i="6"/>
  <c r="AG75" i="6" s="1"/>
  <c r="AJ75" i="6" s="1"/>
  <c r="N72" i="6"/>
  <c r="Q72" i="6" s="1"/>
  <c r="T72" i="6" s="1"/>
  <c r="N73" i="6"/>
  <c r="Q73" i="6" s="1"/>
  <c r="T73" i="6" s="1"/>
  <c r="F76" i="6"/>
  <c r="I76" i="6" s="1"/>
  <c r="L76" i="6" s="1"/>
  <c r="F78" i="6"/>
  <c r="I78" i="6" s="1"/>
  <c r="L78" i="6" s="1"/>
  <c r="V54" i="6"/>
  <c r="Y54" i="6" s="1"/>
  <c r="AB54" i="6" s="1"/>
  <c r="V77" i="6"/>
  <c r="Y77" i="6" s="1"/>
  <c r="AB77" i="6" s="1"/>
  <c r="AL54" i="6"/>
  <c r="AO54" i="6" s="1"/>
  <c r="AR54" i="6" s="1"/>
  <c r="N54" i="6"/>
  <c r="Q54" i="6" s="1"/>
  <c r="T54" i="6" s="1"/>
  <c r="V73" i="6"/>
  <c r="Y73" i="6" s="1"/>
  <c r="AB73" i="6" s="1"/>
  <c r="V75" i="6"/>
  <c r="Y75" i="6" s="1"/>
  <c r="AB75" i="6" s="1"/>
  <c r="N78" i="6"/>
  <c r="Q78" i="6" s="1"/>
  <c r="T78" i="6" s="1"/>
  <c r="AL73" i="6"/>
  <c r="AO73" i="6" s="1"/>
  <c r="AR73" i="6" s="1"/>
  <c r="AL77" i="6"/>
  <c r="AO77" i="6" s="1"/>
  <c r="AR77" i="6" s="1"/>
  <c r="AD70" i="6"/>
  <c r="AG70" i="6" s="1"/>
  <c r="AJ70" i="6" s="1"/>
  <c r="F73" i="6"/>
  <c r="I73" i="6" s="1"/>
  <c r="L73" i="6" s="1"/>
  <c r="N74" i="1"/>
  <c r="G66" i="1"/>
  <c r="C71" i="6"/>
  <c r="D71" i="6"/>
  <c r="S74" i="1"/>
  <c r="N66" i="1"/>
  <c r="E66" i="1"/>
  <c r="C32" i="8" s="1"/>
  <c r="M74" i="1"/>
  <c r="F74" i="1"/>
  <c r="V62" i="6"/>
  <c r="Y62" i="6" s="1"/>
  <c r="AB62" i="6" s="1"/>
  <c r="AT74" i="6"/>
  <c r="AW74" i="6" s="1"/>
  <c r="AZ74" i="6" s="1"/>
  <c r="AT76" i="6"/>
  <c r="AW76" i="6" s="1"/>
  <c r="AZ76" i="6" s="1"/>
  <c r="F75" i="6"/>
  <c r="I75" i="6" s="1"/>
  <c r="L75" i="6" s="1"/>
  <c r="AL70" i="6"/>
  <c r="AO70" i="6" s="1"/>
  <c r="AR70" i="6" s="1"/>
  <c r="T49" i="1"/>
  <c r="U49" i="1" s="1"/>
  <c r="V49" i="1" s="1"/>
  <c r="T65" i="1"/>
  <c r="U65" i="1" s="1"/>
  <c r="V65" i="1" s="1"/>
  <c r="AC66" i="1"/>
  <c r="T57" i="1"/>
  <c r="U57" i="1" s="1"/>
  <c r="V57" i="1" s="1"/>
  <c r="R74" i="1"/>
  <c r="Y69" i="1"/>
  <c r="Z69" i="1" s="1"/>
  <c r="AA69" i="1" s="1"/>
  <c r="Y73" i="1"/>
  <c r="Z73" i="1" s="1"/>
  <c r="AA73" i="1" s="1"/>
  <c r="G74" i="1"/>
  <c r="C79" i="6"/>
  <c r="D79" i="6"/>
  <c r="M66" i="1"/>
  <c r="X74" i="1"/>
  <c r="W74" i="1"/>
  <c r="T68" i="1"/>
  <c r="U68" i="1" s="1"/>
  <c r="V68" i="1" s="1"/>
  <c r="R66" i="1"/>
  <c r="AD72" i="1"/>
  <c r="AE72" i="1" s="1"/>
  <c r="AF72" i="1" s="1"/>
  <c r="AB66" i="1"/>
  <c r="Y70" i="1"/>
  <c r="Z70" i="1" s="1"/>
  <c r="AA70" i="1" s="1"/>
  <c r="N76" i="6"/>
  <c r="Q76" i="6" s="1"/>
  <c r="T76" i="6" s="1"/>
  <c r="AL62" i="6"/>
  <c r="AO62" i="6" s="1"/>
  <c r="AR62" i="6" s="1"/>
  <c r="O73" i="1"/>
  <c r="P73" i="1" s="1"/>
  <c r="Q73" i="1" s="1"/>
  <c r="Y67" i="1"/>
  <c r="Z67" i="1" s="1"/>
  <c r="AA67" i="1" s="1"/>
  <c r="S66" i="1"/>
  <c r="AD62" i="6"/>
  <c r="AG62" i="6" s="1"/>
  <c r="AJ62" i="6" s="1"/>
  <c r="AL75" i="6"/>
  <c r="AO75" i="6" s="1"/>
  <c r="AR75" i="6" s="1"/>
  <c r="AT70" i="6"/>
  <c r="AW70" i="6" s="1"/>
  <c r="AZ70" i="6" s="1"/>
  <c r="AD78" i="6"/>
  <c r="AG78" i="6" s="1"/>
  <c r="AJ78" i="6" s="1"/>
  <c r="AT54" i="6"/>
  <c r="AW54" i="6" s="1"/>
  <c r="AZ54" i="6" s="1"/>
  <c r="F74" i="6"/>
  <c r="I74" i="6" s="1"/>
  <c r="L74" i="6" s="1"/>
  <c r="AT75" i="6"/>
  <c r="AW75" i="6" s="1"/>
  <c r="AZ75" i="6" s="1"/>
  <c r="AL78" i="6"/>
  <c r="AO78" i="6" s="1"/>
  <c r="AR78" i="6" s="1"/>
  <c r="N62" i="6"/>
  <c r="Q62" i="6" s="1"/>
  <c r="T62" i="6" s="1"/>
  <c r="V74" i="6"/>
  <c r="Y74" i="6" s="1"/>
  <c r="AB74" i="6" s="1"/>
  <c r="V76" i="6"/>
  <c r="Y76" i="6" s="1"/>
  <c r="AB76" i="6" s="1"/>
  <c r="V78" i="6"/>
  <c r="Y78" i="6" s="1"/>
  <c r="AB78" i="6" s="1"/>
  <c r="F77" i="6"/>
  <c r="I77" i="6" s="1"/>
  <c r="L77" i="6" s="1"/>
  <c r="AT62" i="6"/>
  <c r="AW62" i="6" s="1"/>
  <c r="AZ62" i="6" s="1"/>
  <c r="F62" i="6"/>
  <c r="I62" i="6" s="1"/>
  <c r="L62" i="6" s="1"/>
  <c r="N75" i="6"/>
  <c r="Q75" i="6" s="1"/>
  <c r="T75" i="6" s="1"/>
  <c r="AD74" i="6"/>
  <c r="AG74" i="6" s="1"/>
  <c r="AJ74" i="6" s="1"/>
  <c r="N74" i="6"/>
  <c r="Q74" i="6" s="1"/>
  <c r="T74" i="6" s="1"/>
  <c r="AT78" i="6"/>
  <c r="AW78" i="6" s="1"/>
  <c r="AZ78" i="6" s="1"/>
  <c r="V70" i="6"/>
  <c r="Y70" i="6" s="1"/>
  <c r="AB70" i="6" s="1"/>
  <c r="AD76" i="6"/>
  <c r="AG76" i="6" s="1"/>
  <c r="AJ76" i="6" s="1"/>
  <c r="H31" i="6"/>
  <c r="G31" i="6"/>
  <c r="N31" i="6"/>
  <c r="M31" i="6"/>
  <c r="M39" i="6"/>
  <c r="H39" i="6"/>
  <c r="G39" i="6"/>
  <c r="N39" i="6"/>
  <c r="AI31" i="6"/>
  <c r="AO31" i="6"/>
  <c r="AJ31" i="6"/>
  <c r="AP31" i="6"/>
  <c r="AA39" i="6"/>
  <c r="U39" i="6"/>
  <c r="AB39" i="6"/>
  <c r="V39" i="6"/>
  <c r="AB31" i="6"/>
  <c r="AA31" i="6"/>
  <c r="U31" i="6"/>
  <c r="V31" i="6"/>
  <c r="AO39" i="6"/>
  <c r="AJ39" i="6"/>
  <c r="AP39" i="6"/>
  <c r="AI39" i="6"/>
  <c r="AB39" i="5"/>
  <c r="AA39" i="5"/>
  <c r="U39" i="5"/>
  <c r="V39" i="5"/>
  <c r="AB31" i="5"/>
  <c r="AA31" i="5"/>
  <c r="V31" i="5"/>
  <c r="U31" i="5"/>
  <c r="AP39" i="5"/>
  <c r="AI39" i="5"/>
  <c r="AO39" i="5"/>
  <c r="AJ39" i="5"/>
  <c r="N31" i="5"/>
  <c r="H31" i="5"/>
  <c r="M31" i="5"/>
  <c r="G31" i="5"/>
  <c r="C71" i="4"/>
  <c r="AI31" i="5"/>
  <c r="AP31" i="5"/>
  <c r="AJ31" i="5"/>
  <c r="AO31" i="5"/>
  <c r="M39" i="5"/>
  <c r="C79" i="4"/>
  <c r="N39" i="5"/>
  <c r="H39" i="5"/>
  <c r="G39" i="5"/>
  <c r="L32" i="8" l="1"/>
  <c r="T32" i="8" s="1"/>
  <c r="Z57" i="1"/>
  <c r="AA57" i="1" s="1"/>
  <c r="Z95" i="1"/>
  <c r="AA95" i="1" s="1"/>
  <c r="Y95" i="1"/>
  <c r="O103" i="1"/>
  <c r="P103" i="1"/>
  <c r="Q103" i="1" s="1"/>
  <c r="Z49" i="1"/>
  <c r="AA49" i="1" s="1"/>
  <c r="Z103" i="1"/>
  <c r="AA103" i="1" s="1"/>
  <c r="Z87" i="1"/>
  <c r="AA87" i="1" s="1"/>
  <c r="Y103" i="1"/>
  <c r="Y87" i="1"/>
  <c r="J40" i="8"/>
  <c r="L40" i="8" s="1"/>
  <c r="T40" i="8" s="1"/>
  <c r="L37" i="8"/>
  <c r="T37" i="8" s="1"/>
  <c r="R37" i="8"/>
  <c r="L36" i="8"/>
  <c r="T36" i="8" s="1"/>
  <c r="R36" i="8"/>
  <c r="P57" i="1"/>
  <c r="Q57" i="1" s="1"/>
  <c r="O95" i="1"/>
  <c r="P95" i="1"/>
  <c r="Q95" i="1" s="1"/>
  <c r="L39" i="8"/>
  <c r="T39" i="8" s="1"/>
  <c r="R39" i="8"/>
  <c r="L38" i="8"/>
  <c r="T38" i="8" s="1"/>
  <c r="R38" i="8"/>
  <c r="P49" i="1"/>
  <c r="Q49" i="1" s="1"/>
  <c r="O87" i="1"/>
  <c r="P87" i="1"/>
  <c r="Q87" i="1" s="1"/>
  <c r="L35" i="8"/>
  <c r="T35" i="8" s="1"/>
  <c r="R35" i="8"/>
  <c r="L34" i="8"/>
  <c r="T34" i="8" s="1"/>
  <c r="R34" i="8"/>
  <c r="L33" i="8"/>
  <c r="T33" i="8" s="1"/>
  <c r="R33" i="8"/>
  <c r="I62" i="5"/>
  <c r="L62" i="5" s="1"/>
  <c r="F102" i="5"/>
  <c r="P32" i="8"/>
  <c r="N32" i="8"/>
  <c r="M32" i="8"/>
  <c r="Q32" i="8"/>
  <c r="O32" i="8"/>
  <c r="S32" i="8"/>
  <c r="R32" i="8"/>
  <c r="M40" i="8"/>
  <c r="S40" i="8"/>
  <c r="R40" i="8"/>
  <c r="N40" i="8"/>
  <c r="Q40" i="8"/>
  <c r="P40" i="8"/>
  <c r="O40" i="8"/>
  <c r="I54" i="5"/>
  <c r="L54" i="5" s="1"/>
  <c r="F94" i="5"/>
  <c r="F110" i="5"/>
  <c r="I74" i="5"/>
  <c r="L74" i="5" s="1"/>
  <c r="I75" i="5"/>
  <c r="L75" i="5" s="1"/>
  <c r="Q62" i="5"/>
  <c r="T62" i="5" s="1"/>
  <c r="AT71" i="5"/>
  <c r="AW71" i="5" s="1"/>
  <c r="AZ71" i="5" s="1"/>
  <c r="Q77" i="5"/>
  <c r="T77" i="5" s="1"/>
  <c r="Q73" i="5"/>
  <c r="T73" i="5" s="1"/>
  <c r="Q72" i="5"/>
  <c r="T72" i="5" s="1"/>
  <c r="V79" i="5"/>
  <c r="Y79" i="5" s="1"/>
  <c r="AB79" i="5" s="1"/>
  <c r="F79" i="5"/>
  <c r="I79" i="5" s="1"/>
  <c r="L79" i="5" s="1"/>
  <c r="N79" i="5"/>
  <c r="AL71" i="5"/>
  <c r="AO71" i="5" s="1"/>
  <c r="AR71" i="5" s="1"/>
  <c r="AL79" i="5"/>
  <c r="AO79" i="5" s="1"/>
  <c r="AR79" i="5" s="1"/>
  <c r="AD71" i="5"/>
  <c r="AG71" i="5" s="1"/>
  <c r="AJ71" i="5" s="1"/>
  <c r="AD79" i="5"/>
  <c r="AG79" i="5" s="1"/>
  <c r="AJ79" i="5" s="1"/>
  <c r="AD71" i="6"/>
  <c r="AG71" i="6" s="1"/>
  <c r="AJ71" i="6" s="1"/>
  <c r="V79" i="6"/>
  <c r="Y79" i="6" s="1"/>
  <c r="AB79" i="6" s="1"/>
  <c r="AT71" i="6"/>
  <c r="AW71" i="6" s="1"/>
  <c r="AZ71" i="6" s="1"/>
  <c r="Q76" i="5"/>
  <c r="T76" i="5" s="1"/>
  <c r="Q70" i="5"/>
  <c r="T70" i="5" s="1"/>
  <c r="N71" i="5"/>
  <c r="AT79" i="5"/>
  <c r="AW79" i="5" s="1"/>
  <c r="AZ79" i="5" s="1"/>
  <c r="I72" i="5"/>
  <c r="L72" i="5" s="1"/>
  <c r="I76" i="5"/>
  <c r="L76" i="5" s="1"/>
  <c r="F71" i="5"/>
  <c r="V71" i="5"/>
  <c r="Y71" i="5" s="1"/>
  <c r="AB71" i="5" s="1"/>
  <c r="I73" i="5"/>
  <c r="L73" i="5" s="1"/>
  <c r="Y66" i="1"/>
  <c r="Z66" i="1" s="1"/>
  <c r="AA66" i="1" s="1"/>
  <c r="AD66" i="1"/>
  <c r="AE66" i="1" s="1"/>
  <c r="AF66" i="1" s="1"/>
  <c r="O66" i="1"/>
  <c r="P66" i="1" s="1"/>
  <c r="Q66" i="1" s="1"/>
  <c r="Y74" i="1"/>
  <c r="Z74" i="1" s="1"/>
  <c r="AA74" i="1" s="1"/>
  <c r="V71" i="6"/>
  <c r="Y71" i="6" s="1"/>
  <c r="AB71" i="6" s="1"/>
  <c r="T74" i="1"/>
  <c r="U74" i="1" s="1"/>
  <c r="V74" i="1" s="1"/>
  <c r="T66" i="1"/>
  <c r="U66" i="1" s="1"/>
  <c r="V66" i="1" s="1"/>
  <c r="O74" i="1"/>
  <c r="P74" i="1" s="1"/>
  <c r="Q74" i="1" s="1"/>
  <c r="N79" i="6"/>
  <c r="Q79" i="6" s="1"/>
  <c r="T79" i="6" s="1"/>
  <c r="F71" i="6"/>
  <c r="I71" i="6" s="1"/>
  <c r="L71" i="6" s="1"/>
  <c r="AT79" i="6"/>
  <c r="AW79" i="6" s="1"/>
  <c r="AZ79" i="6" s="1"/>
  <c r="AD79" i="6"/>
  <c r="AG79" i="6" s="1"/>
  <c r="AJ79" i="6" s="1"/>
  <c r="AL71" i="6"/>
  <c r="AO71" i="6" s="1"/>
  <c r="AR71" i="6" s="1"/>
  <c r="F79" i="6"/>
  <c r="I79" i="6" s="1"/>
  <c r="L79" i="6" s="1"/>
  <c r="N71" i="6"/>
  <c r="Q71" i="6" s="1"/>
  <c r="T71" i="6" s="1"/>
  <c r="AL79" i="6"/>
  <c r="AO79" i="6" s="1"/>
  <c r="AR79" i="6" s="1"/>
  <c r="I94" i="5" l="1"/>
  <c r="L94" i="5" s="1"/>
  <c r="I110" i="5"/>
  <c r="L110" i="5" s="1"/>
  <c r="I102" i="5"/>
  <c r="L102" i="5" s="1"/>
  <c r="Q71" i="5"/>
  <c r="T71" i="5" s="1"/>
  <c r="Q79" i="5"/>
  <c r="T79" i="5" s="1"/>
  <c r="I71" i="5"/>
  <c r="L71" i="5" s="1"/>
</calcChain>
</file>

<file path=xl/sharedStrings.xml><?xml version="1.0" encoding="utf-8"?>
<sst xmlns="http://schemas.openxmlformats.org/spreadsheetml/2006/main" count="1410" uniqueCount="119">
  <si>
    <t>0 to 1</t>
  </si>
  <si>
    <t>2 to 5</t>
  </si>
  <si>
    <t>6 to 9</t>
  </si>
  <si>
    <t>10 to 17</t>
  </si>
  <si>
    <t>18 to 34</t>
  </si>
  <si>
    <t>35 to 59</t>
  </si>
  <si>
    <t>60 plus</t>
  </si>
  <si>
    <t>Year</t>
  </si>
  <si>
    <t>Age group</t>
  </si>
  <si>
    <t>No insured</t>
  </si>
  <si>
    <t>No in sample</t>
  </si>
  <si>
    <t>No influenza</t>
  </si>
  <si>
    <t>control</t>
  </si>
  <si>
    <t>flu</t>
  </si>
  <si>
    <t>Total</t>
  </si>
  <si>
    <t>No with Match</t>
  </si>
  <si>
    <t>delta</t>
  </si>
  <si>
    <t>AOM hospital</t>
  </si>
  <si>
    <t>CAP hospital</t>
  </si>
  <si>
    <t>Absolute numbers (sums)</t>
  </si>
  <si>
    <t>No. AOM</t>
  </si>
  <si>
    <t>No. CAP</t>
  </si>
  <si>
    <t>AOM</t>
  </si>
  <si>
    <t>CAP</t>
  </si>
  <si>
    <t>Flu</t>
  </si>
  <si>
    <t>Control</t>
  </si>
  <si>
    <t>Sum</t>
  </si>
  <si>
    <t>Mean</t>
  </si>
  <si>
    <t>SD</t>
  </si>
  <si>
    <t>Contacts</t>
  </si>
  <si>
    <t>Costs</t>
  </si>
  <si>
    <t>T-value</t>
  </si>
  <si>
    <t>DF</t>
  </si>
  <si>
    <t>PHARMA COSTS</t>
  </si>
  <si>
    <t>Overall</t>
  </si>
  <si>
    <t>All years</t>
  </si>
  <si>
    <t>SICK LEAVE</t>
  </si>
  <si>
    <t>LOS</t>
  </si>
  <si>
    <t>INPATIENT COSTS</t>
  </si>
  <si>
    <t>NO INSURED WITH SERVICE USE</t>
  </si>
  <si>
    <t>General Comparison of Influenza vs. Control</t>
  </si>
  <si>
    <t>t-test</t>
  </si>
  <si>
    <t>s2p</t>
  </si>
  <si>
    <t>test stat</t>
  </si>
  <si>
    <t>Testing influenza vs. Control</t>
  </si>
  <si>
    <t>Z-test</t>
  </si>
  <si>
    <t>p-Value</t>
  </si>
  <si>
    <t>Contact</t>
  </si>
  <si>
    <t>PERCENT INSURED WITH SERVICE USE</t>
  </si>
  <si>
    <t>Days</t>
  </si>
  <si>
    <t>MG</t>
  </si>
  <si>
    <t>FV</t>
  </si>
  <si>
    <t>SICK LEAVE FV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</si>
  <si>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</si>
  <si>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</si>
  <si>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</si>
  <si>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</si>
  <si>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</si>
  <si>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</si>
  <si>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</si>
  <si>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</si>
  <si>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Month</t>
  </si>
  <si>
    <t>day</t>
  </si>
  <si>
    <t>Days in month</t>
  </si>
  <si>
    <t>German population</t>
  </si>
  <si>
    <t>No. insured</t>
  </si>
  <si>
    <t>No. influenza</t>
  </si>
  <si>
    <t>No. in sample</t>
  </si>
  <si>
    <t>No. with Match</t>
  </si>
  <si>
    <t>Total numbers</t>
  </si>
  <si>
    <t>Percentage &amp; Group comparison</t>
  </si>
  <si>
    <t>Time comparison</t>
  </si>
  <si>
    <t>2012 vs. 2013</t>
  </si>
  <si>
    <t>2013 vs.2014</t>
  </si>
  <si>
    <t>2012 vs. 2014</t>
  </si>
  <si>
    <t>Influenza cases</t>
  </si>
  <si>
    <t>Inpatient</t>
  </si>
  <si>
    <t>Outpatient</t>
  </si>
  <si>
    <t>Pharmaceutical</t>
  </si>
  <si>
    <t>Per Case</t>
  </si>
  <si>
    <t>Population</t>
  </si>
  <si>
    <t>Total Direct</t>
  </si>
  <si>
    <t>Inpatient Flu</t>
  </si>
  <si>
    <t>Inpatient AOM</t>
  </si>
  <si>
    <t>Inpatient CAP</t>
  </si>
  <si>
    <t>Indirect</t>
  </si>
  <si>
    <t>p-value</t>
  </si>
  <si>
    <t>Difference</t>
  </si>
  <si>
    <t>Covariance</t>
  </si>
  <si>
    <t>Correlation</t>
  </si>
  <si>
    <t>SICK LEAVE "EMPLOYED"</t>
  </si>
  <si>
    <t>Inflation factors</t>
  </si>
  <si>
    <t>Base = 2014</t>
  </si>
  <si>
    <t>Base = 2012</t>
  </si>
  <si>
    <t>Income</t>
  </si>
  <si>
    <t>Monthly income</t>
  </si>
  <si>
    <t>No. Of employed</t>
  </si>
  <si>
    <t>65 and older</t>
  </si>
  <si>
    <t>24 and younger</t>
  </si>
  <si>
    <t>IncidenceComplications</t>
  </si>
  <si>
    <t>TotalCosts</t>
  </si>
  <si>
    <t>Sick_Leave</t>
  </si>
  <si>
    <t>External_Sources</t>
  </si>
  <si>
    <t>This supplement is structured in the following sheets:</t>
  </si>
  <si>
    <t>This sheet contains the incidence calculations with the complete population of the sickness fund</t>
  </si>
  <si>
    <t>Glossary:</t>
  </si>
  <si>
    <t>sample</t>
  </si>
  <si>
    <t>SHI</t>
  </si>
  <si>
    <t>Statutory Health Insurance</t>
  </si>
  <si>
    <t>The sample of 100.000 influenza cases drawn from the SHI population</t>
  </si>
  <si>
    <t>matched sample</t>
  </si>
  <si>
    <t>The persons of the sample for which a control was found, i.e. 95,089</t>
  </si>
  <si>
    <t>The sheets are usually structured with the absolute numbers at the top, stratified by age group, year and as a total. Beneath are calculations of percentages or the differences between the influenza and the control group including the statistical test used to find differences between the groups.</t>
  </si>
  <si>
    <t>Total costs contains the sum of all the costs calculated in the other sheets and gives a covariance and correlation matrix for the different components of the total costs</t>
  </si>
  <si>
    <t>This sheet contains the inpatient costs of influenza (no control group necessary) and the inpatient costs of AOM an CAP using the matched control design.</t>
  </si>
  <si>
    <t>This sheet contains the outpatient costs of influenza, AOM and CAP. The matched-control design was used for all, as outpatient costs are not directly linkable to influenza.</t>
  </si>
  <si>
    <t>This sheet contains the pharmaceutical costs of influenza, AOM and CAP. The matched-control design was used for all, as outpatient costs are not directly linkable to influenza.</t>
  </si>
  <si>
    <t>This sheet contains information from the German Federal Statistical Office on the age-stratified income and inflation rates for Germany.</t>
  </si>
  <si>
    <t>This sheet contains the days of sick leave directly attributable to influenza and the difference in sick leave between the influenza and the control group for AOM and CAP. Sub-analyses are presented for the employed persons of the SHI.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</si>
</sst>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"/>
    <numFmt numFmtId="165" formatCode="#,##0\ &quot;€&quot;"/>
    <numFmt numFmtId="166" formatCode="_-* #,##0\ [$€-407]_-;\-* #,##0\ [$€-407]_-;_-* &quot;-&quot;??\ [$€-407]_-;_-@_-"/>
    <numFmt numFmtId="167" formatCode="_-* #,##0.00\ [$€-407]_-;\-* #,##0.00\ [$€-407]_-;_-* &quot;-&quot;??\ [$€-407]_-;_-@_-"/>
    <numFmt numFmtId="168" formatCode="0.0%"/>
    <numFmt numFmtId="169" formatCode="#,##0.00\ &quot;€&quot;"/>
    <numFmt numFmtId="170" formatCode="0.0000"/>
    <numFmt numFmtId="171" formatCode="0.0"/>
    <numFmt numFmtId="172" formatCode="#,##0.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5" applyNumberFormat="0" applyFill="0" applyAlignment="0" applyProtection="0"/>
    <xf numFmtId="0" fontId="4" fillId="0" borderId="26" applyNumberFormat="0" applyFill="0" applyAlignment="0" applyProtection="0"/>
    <xf numFmtId="0" fontId="5" fillId="0" borderId="2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28" applyNumberFormat="0" applyAlignment="0" applyProtection="0"/>
    <xf numFmtId="0" fontId="10" fillId="6" borderId="29" applyNumberFormat="0" applyAlignment="0" applyProtection="0"/>
    <xf numFmtId="0" fontId="11" fillId="6" borderId="28" applyNumberFormat="0" applyAlignment="0" applyProtection="0"/>
    <xf numFmtId="0" fontId="12" fillId="0" borderId="30" applyNumberFormat="0" applyFill="0" applyAlignment="0" applyProtection="0"/>
    <xf numFmtId="0" fontId="13" fillId="7" borderId="31" applyNumberFormat="0" applyAlignment="0" applyProtection="0"/>
    <xf numFmtId="0" fontId="14" fillId="0" borderId="0" applyNumberFormat="0" applyFill="0" applyBorder="0" applyAlignment="0" applyProtection="0"/>
    <xf numFmtId="0" fontId="1" fillId="8" borderId="32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33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6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3" fontId="0" fillId="0" borderId="0" xfId="0" applyNumberFormat="1" applyBorder="1"/>
    <xf numFmtId="3" fontId="0" fillId="0" borderId="5" xfId="0" applyNumberFormat="1" applyBorder="1"/>
    <xf numFmtId="3" fontId="0" fillId="0" borderId="3" xfId="0" applyNumberFormat="1" applyBorder="1"/>
    <xf numFmtId="0" fontId="0" fillId="0" borderId="6" xfId="0" applyBorder="1"/>
    <xf numFmtId="3" fontId="0" fillId="0" borderId="7" xfId="0" applyNumberFormat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3" fontId="0" fillId="0" borderId="8" xfId="0" applyNumberFormat="1" applyBorder="1"/>
    <xf numFmtId="10" fontId="0" fillId="0" borderId="0" xfId="1" applyNumberFormat="1" applyFont="1"/>
    <xf numFmtId="10" fontId="0" fillId="0" borderId="3" xfId="1" applyNumberFormat="1" applyFont="1" applyBorder="1"/>
    <xf numFmtId="10" fontId="0" fillId="0" borderId="8" xfId="1" applyNumberFormat="1" applyFont="1" applyBorder="1"/>
    <xf numFmtId="10" fontId="0" fillId="0" borderId="0" xfId="0" applyNumberFormat="1"/>
    <xf numFmtId="3" fontId="0" fillId="0" borderId="11" xfId="0" applyNumberFormat="1" applyBorder="1"/>
    <xf numFmtId="2" fontId="0" fillId="0" borderId="0" xfId="1" applyNumberFormat="1" applyFont="1"/>
    <xf numFmtId="2" fontId="0" fillId="0" borderId="3" xfId="1" applyNumberFormat="1" applyFont="1" applyBorder="1"/>
    <xf numFmtId="2" fontId="0" fillId="0" borderId="8" xfId="1" applyNumberFormat="1" applyFont="1" applyBorder="1"/>
    <xf numFmtId="164" fontId="0" fillId="0" borderId="0" xfId="1" applyNumberFormat="1" applyFont="1"/>
    <xf numFmtId="164" fontId="0" fillId="0" borderId="3" xfId="1" applyNumberFormat="1" applyFont="1" applyBorder="1"/>
    <xf numFmtId="164" fontId="0" fillId="0" borderId="8" xfId="1" applyNumberFormat="1" applyFont="1" applyBorder="1"/>
    <xf numFmtId="3" fontId="0" fillId="0" borderId="0" xfId="0" applyNumberFormat="1" applyFill="1" applyBorder="1"/>
    <xf numFmtId="3" fontId="0" fillId="0" borderId="3" xfId="0" applyNumberFormat="1" applyFill="1" applyBorder="1"/>
    <xf numFmtId="3" fontId="0" fillId="0" borderId="13" xfId="0" applyNumberFormat="1" applyBorder="1"/>
    <xf numFmtId="10" fontId="0" fillId="0" borderId="1" xfId="1" applyNumberFormat="1" applyFont="1" applyBorder="1"/>
    <xf numFmtId="10" fontId="0" fillId="0" borderId="5" xfId="1" applyNumberFormat="1" applyFont="1" applyBorder="1"/>
    <xf numFmtId="10" fontId="0" fillId="0" borderId="9" xfId="1" applyNumberFormat="1" applyFont="1" applyBorder="1"/>
    <xf numFmtId="0" fontId="0" fillId="0" borderId="9" xfId="0" applyBorder="1"/>
    <xf numFmtId="164" fontId="0" fillId="0" borderId="11" xfId="1" applyNumberFormat="1" applyFont="1" applyBorder="1"/>
    <xf numFmtId="2" fontId="0" fillId="0" borderId="0" xfId="0" applyNumberFormat="1"/>
    <xf numFmtId="2" fontId="0" fillId="0" borderId="14" xfId="0" applyNumberFormat="1" applyBorder="1"/>
    <xf numFmtId="2" fontId="0" fillId="0" borderId="3" xfId="0" applyNumberFormat="1" applyBorder="1"/>
    <xf numFmtId="2" fontId="0" fillId="0" borderId="8" xfId="0" applyNumberFormat="1" applyBorder="1"/>
    <xf numFmtId="0" fontId="0" fillId="0" borderId="0" xfId="0" applyBorder="1" applyAlignment="1"/>
    <xf numFmtId="0" fontId="0" fillId="0" borderId="0" xfId="0" applyAlignment="1"/>
    <xf numFmtId="165" fontId="0" fillId="0" borderId="1" xfId="0" applyNumberFormat="1" applyBorder="1"/>
    <xf numFmtId="165" fontId="0" fillId="0" borderId="0" xfId="0" applyNumberFormat="1" applyBorder="1"/>
    <xf numFmtId="165" fontId="0" fillId="0" borderId="5" xfId="0" applyNumberFormat="1" applyBorder="1"/>
    <xf numFmtId="165" fontId="0" fillId="0" borderId="3" xfId="0" applyNumberFormat="1" applyBorder="1"/>
    <xf numFmtId="165" fontId="0" fillId="0" borderId="9" xfId="0" applyNumberFormat="1" applyBorder="1"/>
    <xf numFmtId="165" fontId="0" fillId="0" borderId="8" xfId="0" applyNumberFormat="1" applyBorder="1"/>
    <xf numFmtId="166" fontId="0" fillId="0" borderId="0" xfId="0" applyNumberFormat="1"/>
    <xf numFmtId="166" fontId="0" fillId="0" borderId="3" xfId="0" applyNumberFormat="1" applyBorder="1"/>
    <xf numFmtId="166" fontId="0" fillId="0" borderId="0" xfId="0" applyNumberFormat="1" applyBorder="1"/>
    <xf numFmtId="166" fontId="0" fillId="0" borderId="11" xfId="0" applyNumberFormat="1" applyBorder="1"/>
    <xf numFmtId="0" fontId="0" fillId="0" borderId="14" xfId="0" applyBorder="1"/>
    <xf numFmtId="166" fontId="0" fillId="0" borderId="1" xfId="0" applyNumberFormat="1" applyBorder="1"/>
    <xf numFmtId="166" fontId="0" fillId="0" borderId="5" xfId="0" applyNumberFormat="1" applyBorder="1"/>
    <xf numFmtId="166" fontId="0" fillId="0" borderId="13" xfId="0" applyNumberFormat="1" applyBorder="1"/>
    <xf numFmtId="166" fontId="0" fillId="0" borderId="8" xfId="0" applyNumberFormat="1" applyBorder="1"/>
    <xf numFmtId="166" fontId="0" fillId="0" borderId="1" xfId="0" applyNumberFormat="1" applyFill="1" applyBorder="1"/>
    <xf numFmtId="166" fontId="0" fillId="0" borderId="12" xfId="0" applyNumberFormat="1" applyBorder="1"/>
    <xf numFmtId="166" fontId="0" fillId="0" borderId="14" xfId="0" applyNumberFormat="1" applyBorder="1"/>
    <xf numFmtId="165" fontId="0" fillId="0" borderId="15" xfId="0" applyNumberFormat="1" applyBorder="1"/>
    <xf numFmtId="166" fontId="0" fillId="0" borderId="16" xfId="0" applyNumberFormat="1" applyBorder="1"/>
    <xf numFmtId="165" fontId="0" fillId="0" borderId="15" xfId="0" applyNumberFormat="1" applyBorder="1" applyAlignment="1">
      <alignment horizontal="right"/>
    </xf>
    <xf numFmtId="165" fontId="0" fillId="0" borderId="11" xfId="0" applyNumberFormat="1" applyBorder="1"/>
    <xf numFmtId="0" fontId="0" fillId="0" borderId="0" xfId="0" applyBorder="1" applyAlignment="1">
      <alignment horizontal="center"/>
    </xf>
    <xf numFmtId="0" fontId="0" fillId="0" borderId="13" xfId="0" applyBorder="1"/>
    <xf numFmtId="0" fontId="0" fillId="0" borderId="11" xfId="0" applyBorder="1"/>
    <xf numFmtId="167" fontId="0" fillId="0" borderId="0" xfId="0" applyNumberFormat="1" applyBorder="1"/>
    <xf numFmtId="167" fontId="0" fillId="0" borderId="0" xfId="0" applyNumberFormat="1"/>
    <xf numFmtId="2" fontId="0" fillId="0" borderId="11" xfId="0" applyNumberFormat="1" applyBorder="1"/>
    <xf numFmtId="2" fontId="0" fillId="0" borderId="0" xfId="0" applyNumberFormat="1" applyBorder="1"/>
    <xf numFmtId="167" fontId="0" fillId="0" borderId="1" xfId="0" applyNumberFormat="1" applyBorder="1"/>
    <xf numFmtId="166" fontId="0" fillId="0" borderId="7" xfId="0" applyNumberFormat="1" applyBorder="1"/>
    <xf numFmtId="166" fontId="0" fillId="0" borderId="9" xfId="0" applyNumberFormat="1" applyBorder="1"/>
    <xf numFmtId="167" fontId="0" fillId="0" borderId="3" xfId="0" applyNumberFormat="1" applyBorder="1"/>
    <xf numFmtId="167" fontId="0" fillId="0" borderId="11" xfId="0" applyNumberFormat="1" applyBorder="1"/>
    <xf numFmtId="167" fontId="0" fillId="0" borderId="8" xfId="0" applyNumberFormat="1" applyBorder="1"/>
    <xf numFmtId="167" fontId="0" fillId="0" borderId="12" xfId="0" applyNumberFormat="1" applyBorder="1"/>
    <xf numFmtId="167" fontId="0" fillId="0" borderId="14" xfId="0" applyNumberFormat="1" applyBorder="1"/>
    <xf numFmtId="167" fontId="0" fillId="0" borderId="15" xfId="0" applyNumberFormat="1" applyBorder="1"/>
    <xf numFmtId="3" fontId="0" fillId="0" borderId="18" xfId="0" applyNumberFormat="1" applyBorder="1"/>
    <xf numFmtId="3" fontId="0" fillId="0" borderId="17" xfId="0" applyNumberFormat="1" applyBorder="1"/>
    <xf numFmtId="2" fontId="0" fillId="0" borderId="17" xfId="0" applyNumberFormat="1" applyBorder="1"/>
    <xf numFmtId="166" fontId="0" fillId="0" borderId="18" xfId="0" applyNumberFormat="1" applyBorder="1"/>
    <xf numFmtId="166" fontId="0" fillId="0" borderId="17" xfId="0" applyNumberFormat="1" applyBorder="1"/>
    <xf numFmtId="167" fontId="0" fillId="0" borderId="17" xfId="0" applyNumberFormat="1" applyBorder="1"/>
    <xf numFmtId="165" fontId="0" fillId="0" borderId="18" xfId="0" applyNumberFormat="1" applyBorder="1"/>
    <xf numFmtId="165" fontId="0" fillId="0" borderId="17" xfId="0" applyNumberFormat="1" applyBorder="1"/>
    <xf numFmtId="166" fontId="0" fillId="0" borderId="20" xfId="0" applyNumberFormat="1" applyBorder="1"/>
    <xf numFmtId="0" fontId="0" fillId="0" borderId="7" xfId="0" applyBorder="1"/>
    <xf numFmtId="0" fontId="0" fillId="0" borderId="1" xfId="0" applyBorder="1" applyAlignment="1"/>
    <xf numFmtId="0" fontId="0" fillId="0" borderId="12" xfId="0" applyBorder="1" applyAlignment="1"/>
    <xf numFmtId="3" fontId="0" fillId="0" borderId="21" xfId="0" applyNumberFormat="1" applyBorder="1"/>
    <xf numFmtId="166" fontId="0" fillId="0" borderId="6" xfId="0" applyNumberFormat="1" applyBorder="1"/>
    <xf numFmtId="167" fontId="0" fillId="0" borderId="6" xfId="0" applyNumberFormat="1" applyBorder="1"/>
    <xf numFmtId="167" fontId="0" fillId="0" borderId="22" xfId="0" applyNumberFormat="1" applyBorder="1"/>
    <xf numFmtId="167" fontId="0" fillId="0" borderId="20" xfId="0" applyNumberFormat="1" applyBorder="1"/>
    <xf numFmtId="3" fontId="0" fillId="0" borderId="23" xfId="0" applyNumberFormat="1" applyBorder="1"/>
    <xf numFmtId="0" fontId="0" fillId="0" borderId="16" xfId="0" applyBorder="1"/>
    <xf numFmtId="0" fontId="0" fillId="0" borderId="20" xfId="0" applyBorder="1"/>
    <xf numFmtId="0" fontId="0" fillId="0" borderId="18" xfId="0" applyBorder="1"/>
    <xf numFmtId="0" fontId="0" fillId="0" borderId="12" xfId="0" applyBorder="1"/>
    <xf numFmtId="1" fontId="0" fillId="0" borderId="9" xfId="0" applyNumberFormat="1" applyBorder="1"/>
    <xf numFmtId="1" fontId="0" fillId="0" borderId="15" xfId="0" applyNumberFormat="1" applyBorder="1"/>
    <xf numFmtId="3" fontId="0" fillId="0" borderId="2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167" fontId="0" fillId="0" borderId="16" xfId="0" applyNumberFormat="1" applyBorder="1"/>
    <xf numFmtId="166" fontId="0" fillId="0" borderId="24" xfId="0" applyNumberFormat="1" applyBorder="1"/>
    <xf numFmtId="0" fontId="0" fillId="0" borderId="17" xfId="0" applyBorder="1"/>
    <xf numFmtId="165" fontId="0" fillId="0" borderId="13" xfId="0" applyNumberFormat="1" applyBorder="1"/>
    <xf numFmtId="2" fontId="0" fillId="0" borderId="16" xfId="0" applyNumberFormat="1" applyBorder="1"/>
    <xf numFmtId="0" fontId="0" fillId="0" borderId="0" xfId="0" applyBorder="1" applyAlignment="1">
      <alignment horizontal="center"/>
    </xf>
    <xf numFmtId="0" fontId="0" fillId="0" borderId="0" xfId="0"/>
    <xf numFmtId="9" fontId="0" fillId="0" borderId="0" xfId="1" applyFont="1"/>
    <xf numFmtId="9" fontId="0" fillId="0" borderId="3" xfId="1" applyFont="1" applyBorder="1"/>
    <xf numFmtId="9" fontId="0" fillId="0" borderId="8" xfId="1" applyFont="1" applyBorder="1"/>
    <xf numFmtId="9" fontId="0" fillId="0" borderId="18" xfId="1" applyFont="1" applyBorder="1"/>
    <xf numFmtId="9" fontId="0" fillId="0" borderId="17" xfId="1" applyFont="1" applyBorder="1"/>
    <xf numFmtId="9" fontId="0" fillId="0" borderId="1" xfId="1" applyFont="1" applyBorder="1"/>
    <xf numFmtId="9" fontId="0" fillId="0" borderId="5" xfId="1" applyFont="1" applyBorder="1"/>
    <xf numFmtId="2" fontId="0" fillId="0" borderId="17" xfId="1" applyNumberFormat="1" applyFont="1" applyBorder="1"/>
    <xf numFmtId="2" fontId="0" fillId="0" borderId="0" xfId="1" applyNumberFormat="1" applyFont="1" applyBorder="1"/>
    <xf numFmtId="2" fontId="0" fillId="0" borderId="11" xfId="1" applyNumberFormat="1" applyFont="1" applyBorder="1"/>
    <xf numFmtId="10" fontId="0" fillId="0" borderId="17" xfId="1" applyNumberFormat="1" applyFont="1" applyBorder="1"/>
    <xf numFmtId="10" fontId="0" fillId="0" borderId="18" xfId="1" applyNumberFormat="1" applyFont="1" applyBorder="1"/>
    <xf numFmtId="10" fontId="0" fillId="0" borderId="0" xfId="1" applyNumberFormat="1" applyFont="1" applyBorder="1"/>
    <xf numFmtId="10" fontId="0" fillId="0" borderId="11" xfId="1" applyNumberFormat="1" applyFont="1" applyBorder="1"/>
    <xf numFmtId="10" fontId="0" fillId="0" borderId="13" xfId="1" applyNumberFormat="1" applyFont="1" applyBorder="1"/>
    <xf numFmtId="10" fontId="0" fillId="0" borderId="7" xfId="1" applyNumberFormat="1" applyFont="1" applyBorder="1"/>
    <xf numFmtId="10" fontId="0" fillId="0" borderId="0" xfId="1" applyNumberFormat="1" applyFont="1" applyFill="1" applyBorder="1"/>
    <xf numFmtId="10" fontId="0" fillId="0" borderId="2" xfId="1" applyNumberFormat="1" applyFont="1" applyBorder="1"/>
    <xf numFmtId="10" fontId="0" fillId="0" borderId="4" xfId="1" applyNumberFormat="1" applyFont="1" applyBorder="1"/>
    <xf numFmtId="10" fontId="0" fillId="0" borderId="35" xfId="1" applyNumberFormat="1" applyFont="1" applyBorder="1"/>
    <xf numFmtId="10" fontId="0" fillId="0" borderId="21" xfId="1" applyNumberFormat="1" applyFont="1" applyBorder="1"/>
    <xf numFmtId="10" fontId="0" fillId="0" borderId="34" xfId="1" applyNumberFormat="1" applyFont="1" applyBorder="1"/>
    <xf numFmtId="0" fontId="0" fillId="0" borderId="1" xfId="0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10" fontId="16" fillId="0" borderId="0" xfId="1" applyNumberFormat="1" applyFont="1" applyAlignment="1">
      <alignment horizontal="center"/>
    </xf>
    <xf numFmtId="10" fontId="16" fillId="0" borderId="3" xfId="1" applyNumberFormat="1" applyFont="1" applyBorder="1" applyAlignment="1">
      <alignment horizontal="center"/>
    </xf>
    <xf numFmtId="10" fontId="16" fillId="0" borderId="8" xfId="1" applyNumberFormat="1" applyFont="1" applyBorder="1" applyAlignment="1">
      <alignment horizontal="center"/>
    </xf>
    <xf numFmtId="10" fontId="16" fillId="0" borderId="17" xfId="1" applyNumberFormat="1" applyFont="1" applyBorder="1" applyAlignment="1">
      <alignment horizontal="center"/>
    </xf>
    <xf numFmtId="10" fontId="16" fillId="0" borderId="0" xfId="1" applyNumberFormat="1" applyFont="1" applyBorder="1" applyAlignment="1">
      <alignment horizontal="center"/>
    </xf>
    <xf numFmtId="10" fontId="16" fillId="0" borderId="11" xfId="1" applyNumberFormat="1" applyFont="1" applyBorder="1" applyAlignment="1">
      <alignment horizontal="center"/>
    </xf>
    <xf numFmtId="1" fontId="0" fillId="0" borderId="0" xfId="0" applyNumberFormat="1"/>
    <xf numFmtId="164" fontId="0" fillId="0" borderId="17" xfId="1" applyNumberFormat="1" applyFont="1" applyBorder="1"/>
    <xf numFmtId="164" fontId="0" fillId="0" borderId="0" xfId="1" applyNumberFormat="1" applyFont="1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Fill="1" applyBorder="1" applyAlignment="1">
      <alignment horizontal="center"/>
    </xf>
    <xf numFmtId="166" fontId="0" fillId="0" borderId="0" xfId="1" applyNumberFormat="1" applyFont="1"/>
    <xf numFmtId="166" fontId="0" fillId="0" borderId="3" xfId="1" applyNumberFormat="1" applyFont="1" applyBorder="1"/>
    <xf numFmtId="166" fontId="0" fillId="0" borderId="8" xfId="1" applyNumberFormat="1" applyFont="1" applyBorder="1"/>
    <xf numFmtId="166" fontId="0" fillId="0" borderId="17" xfId="1" applyNumberFormat="1" applyFont="1" applyBorder="1"/>
    <xf numFmtId="166" fontId="0" fillId="0" borderId="0" xfId="1" applyNumberFormat="1" applyFont="1" applyBorder="1"/>
    <xf numFmtId="166" fontId="0" fillId="0" borderId="11" xfId="1" applyNumberFormat="1" applyFont="1" applyBorder="1"/>
    <xf numFmtId="1" fontId="0" fillId="0" borderId="0" xfId="1" applyNumberFormat="1" applyFont="1"/>
    <xf numFmtId="1" fontId="0" fillId="0" borderId="3" xfId="1" applyNumberFormat="1" applyFont="1" applyBorder="1"/>
    <xf numFmtId="1" fontId="0" fillId="0" borderId="8" xfId="1" applyNumberFormat="1" applyFont="1" applyBorder="1"/>
    <xf numFmtId="1" fontId="0" fillId="0" borderId="17" xfId="1" applyNumberFormat="1" applyFont="1" applyBorder="1"/>
    <xf numFmtId="1" fontId="0" fillId="0" borderId="0" xfId="1" applyNumberFormat="1" applyFont="1" applyBorder="1"/>
    <xf numFmtId="1" fontId="0" fillId="0" borderId="11" xfId="1" applyNumberFormat="1" applyFont="1" applyBorder="1"/>
    <xf numFmtId="2" fontId="0" fillId="0" borderId="7" xfId="1" applyNumberFormat="1" applyFont="1" applyBorder="1"/>
    <xf numFmtId="2" fontId="0" fillId="0" borderId="1" xfId="1" applyNumberFormat="1" applyFont="1" applyBorder="1"/>
    <xf numFmtId="2" fontId="0" fillId="0" borderId="5" xfId="1" applyNumberFormat="1" applyFont="1" applyBorder="1"/>
    <xf numFmtId="2" fontId="0" fillId="0" borderId="9" xfId="1" applyNumberFormat="1" applyFont="1" applyBorder="1"/>
    <xf numFmtId="2" fontId="0" fillId="0" borderId="18" xfId="1" applyNumberFormat="1" applyFont="1" applyBorder="1"/>
    <xf numFmtId="2" fontId="0" fillId="0" borderId="13" xfId="1" applyNumberFormat="1" applyFont="1" applyBorder="1"/>
    <xf numFmtId="166" fontId="0" fillId="0" borderId="1" xfId="1" applyNumberFormat="1" applyFont="1" applyBorder="1"/>
    <xf numFmtId="166" fontId="0" fillId="0" borderId="5" xfId="1" applyNumberFormat="1" applyFont="1" applyBorder="1"/>
    <xf numFmtId="166" fontId="0" fillId="0" borderId="9" xfId="1" applyNumberFormat="1" applyFont="1" applyBorder="1"/>
    <xf numFmtId="166" fontId="0" fillId="0" borderId="18" xfId="1" applyNumberFormat="1" applyFont="1" applyBorder="1"/>
    <xf numFmtId="166" fontId="0" fillId="0" borderId="13" xfId="1" applyNumberFormat="1" applyFont="1" applyBorder="1"/>
    <xf numFmtId="2" fontId="0" fillId="0" borderId="22" xfId="1" applyNumberFormat="1" applyFont="1" applyBorder="1"/>
    <xf numFmtId="2" fontId="0" fillId="0" borderId="12" xfId="1" applyNumberFormat="1" applyFont="1" applyBorder="1"/>
    <xf numFmtId="2" fontId="0" fillId="0" borderId="14" xfId="1" applyNumberFormat="1" applyFont="1" applyBorder="1"/>
    <xf numFmtId="2" fontId="0" fillId="0" borderId="15" xfId="1" applyNumberFormat="1" applyFont="1" applyBorder="1"/>
    <xf numFmtId="2" fontId="0" fillId="0" borderId="20" xfId="1" applyNumberFormat="1" applyFont="1" applyBorder="1"/>
    <xf numFmtId="1" fontId="0" fillId="0" borderId="3" xfId="0" applyNumberFormat="1" applyBorder="1"/>
    <xf numFmtId="1" fontId="0" fillId="0" borderId="8" xfId="0" applyNumberFormat="1" applyBorder="1"/>
    <xf numFmtId="1" fontId="0" fillId="0" borderId="17" xfId="0" applyNumberFormat="1" applyBorder="1"/>
    <xf numFmtId="9" fontId="0" fillId="0" borderId="9" xfId="1" applyFont="1" applyBorder="1"/>
    <xf numFmtId="164" fontId="0" fillId="0" borderId="12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164" fontId="0" fillId="0" borderId="20" xfId="1" applyNumberFormat="1" applyFont="1" applyBorder="1"/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168" fontId="0" fillId="0" borderId="0" xfId="1" applyNumberFormat="1" applyFont="1"/>
    <xf numFmtId="168" fontId="0" fillId="0" borderId="11" xfId="1" applyNumberFormat="1" applyFont="1" applyBorder="1"/>
    <xf numFmtId="168" fontId="0" fillId="0" borderId="16" xfId="1" applyNumberFormat="1" applyFont="1" applyBorder="1"/>
    <xf numFmtId="168" fontId="0" fillId="0" borderId="3" xfId="1" applyNumberFormat="1" applyFont="1" applyBorder="1"/>
    <xf numFmtId="168" fontId="0" fillId="0" borderId="14" xfId="1" applyNumberFormat="1" applyFont="1" applyBorder="1"/>
    <xf numFmtId="168" fontId="0" fillId="0" borderId="17" xfId="1" applyNumberFormat="1" applyFont="1" applyBorder="1"/>
    <xf numFmtId="168" fontId="0" fillId="0" borderId="20" xfId="1" applyNumberFormat="1" applyFont="1" applyBorder="1"/>
    <xf numFmtId="3" fontId="0" fillId="0" borderId="6" xfId="0" applyNumberFormat="1" applyFill="1" applyBorder="1"/>
    <xf numFmtId="3" fontId="0" fillId="0" borderId="36" xfId="0" applyNumberFormat="1" applyBorder="1"/>
    <xf numFmtId="3" fontId="0" fillId="0" borderId="2" xfId="0" applyNumberFormat="1" applyBorder="1"/>
    <xf numFmtId="3" fontId="0" fillId="0" borderId="4" xfId="0" applyNumberFormat="1" applyBorder="1"/>
    <xf numFmtId="3" fontId="0" fillId="0" borderId="35" xfId="0" applyNumberFormat="1" applyBorder="1"/>
    <xf numFmtId="3" fontId="0" fillId="0" borderId="34" xfId="0" applyNumberFormat="1" applyBorder="1"/>
    <xf numFmtId="166" fontId="0" fillId="0" borderId="37" xfId="0" applyNumberFormat="1" applyBorder="1"/>
    <xf numFmtId="166" fontId="0" fillId="0" borderId="15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/>
    <xf numFmtId="166" fontId="0" fillId="0" borderId="22" xfId="0" applyNumberFormat="1" applyBorder="1"/>
    <xf numFmtId="10" fontId="0" fillId="0" borderId="6" xfId="1" applyNumberFormat="1" applyFont="1" applyFill="1" applyBorder="1"/>
    <xf numFmtId="10" fontId="0" fillId="0" borderId="3" xfId="1" applyNumberFormat="1" applyFont="1" applyFill="1" applyBorder="1"/>
    <xf numFmtId="3" fontId="0" fillId="0" borderId="15" xfId="0" applyNumberFormat="1" applyBorder="1"/>
    <xf numFmtId="0" fontId="0" fillId="0" borderId="35" xfId="0" applyBorder="1"/>
    <xf numFmtId="0" fontId="0" fillId="0" borderId="21" xfId="0" applyBorder="1" applyAlignment="1">
      <alignment horizontal="center"/>
    </xf>
    <xf numFmtId="0" fontId="0" fillId="0" borderId="34" xfId="0" applyBorder="1"/>
    <xf numFmtId="0" fontId="0" fillId="0" borderId="0" xfId="0" applyBorder="1" applyAlignment="1">
      <alignment vertical="center"/>
    </xf>
    <xf numFmtId="3" fontId="0" fillId="0" borderId="0" xfId="1" applyNumberFormat="1" applyFont="1"/>
    <xf numFmtId="3" fontId="0" fillId="0" borderId="24" xfId="1" applyNumberFormat="1" applyFont="1" applyBorder="1"/>
    <xf numFmtId="0" fontId="0" fillId="0" borderId="24" xfId="0" applyBorder="1"/>
    <xf numFmtId="167" fontId="0" fillId="0" borderId="24" xfId="0" applyNumberFormat="1" applyBorder="1"/>
    <xf numFmtId="3" fontId="0" fillId="0" borderId="3" xfId="1" applyNumberFormat="1" applyFont="1" applyBorder="1"/>
    <xf numFmtId="3" fontId="0" fillId="0" borderId="8" xfId="1" applyNumberFormat="1" applyFont="1" applyBorder="1"/>
    <xf numFmtId="3" fontId="0" fillId="0" borderId="11" xfId="1" applyNumberFormat="1" applyFont="1" applyBorder="1"/>
    <xf numFmtId="0" fontId="0" fillId="0" borderId="3" xfId="0" applyFill="1" applyBorder="1"/>
    <xf numFmtId="165" fontId="0" fillId="0" borderId="0" xfId="0" applyNumberFormat="1"/>
    <xf numFmtId="169" fontId="0" fillId="0" borderId="0" xfId="0" applyNumberFormat="1"/>
    <xf numFmtId="0" fontId="0" fillId="0" borderId="0" xfId="0" applyBorder="1" applyAlignment="1">
      <alignment horizontal="center"/>
    </xf>
    <xf numFmtId="167" fontId="0" fillId="0" borderId="38" xfId="0" applyNumberFormat="1" applyBorder="1"/>
    <xf numFmtId="167" fontId="0" fillId="0" borderId="5" xfId="0" applyNumberFormat="1" applyBorder="1"/>
    <xf numFmtId="167" fontId="0" fillId="0" borderId="9" xfId="0" applyNumberFormat="1" applyBorder="1"/>
    <xf numFmtId="167" fontId="0" fillId="0" borderId="39" xfId="0" applyNumberFormat="1" applyBorder="1"/>
    <xf numFmtId="166" fontId="0" fillId="0" borderId="38" xfId="0" applyNumberFormat="1" applyBorder="1"/>
    <xf numFmtId="1" fontId="0" fillId="0" borderId="11" xfId="0" applyNumberFormat="1" applyBorder="1"/>
    <xf numFmtId="0" fontId="0" fillId="0" borderId="10" xfId="0" applyBorder="1"/>
    <xf numFmtId="2" fontId="0" fillId="0" borderId="10" xfId="0" applyNumberFormat="1" applyBorder="1"/>
    <xf numFmtId="1" fontId="0" fillId="0" borderId="10" xfId="0" applyNumberFormat="1" applyBorder="1"/>
    <xf numFmtId="2" fontId="0" fillId="0" borderId="10" xfId="1" applyNumberFormat="1" applyFont="1" applyBorder="1"/>
    <xf numFmtId="164" fontId="0" fillId="0" borderId="10" xfId="1" applyNumberFormat="1" applyFont="1" applyBorder="1"/>
    <xf numFmtId="1" fontId="0" fillId="0" borderId="0" xfId="0" applyNumberFormat="1" applyBorder="1"/>
    <xf numFmtId="0" fontId="0" fillId="0" borderId="0" xfId="0" applyFill="1" applyBorder="1" applyAlignment="1">
      <alignment horizontal="center"/>
    </xf>
    <xf numFmtId="10" fontId="0" fillId="0" borderId="11" xfId="0" applyNumberFormat="1" applyBorder="1"/>
    <xf numFmtId="10" fontId="0" fillId="0" borderId="3" xfId="0" applyNumberFormat="1" applyBorder="1"/>
    <xf numFmtId="164" fontId="0" fillId="0" borderId="0" xfId="0" applyNumberFormat="1"/>
    <xf numFmtId="0" fontId="0" fillId="0" borderId="12" xfId="0" applyFill="1" applyBorder="1"/>
    <xf numFmtId="10" fontId="0" fillId="0" borderId="0" xfId="1" applyNumberFormat="1" applyFont="1" applyBorder="1" applyAlignment="1">
      <alignment vertical="center"/>
    </xf>
    <xf numFmtId="170" fontId="0" fillId="0" borderId="16" xfId="1" applyNumberFormat="1" applyFont="1" applyBorder="1"/>
    <xf numFmtId="171" fontId="0" fillId="0" borderId="0" xfId="0" applyNumberFormat="1"/>
    <xf numFmtId="172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6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Prozent" xfId="1" builtinId="5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29"/>
  <sheetViews>
    <sheetView tabSelected="1" workbookViewId="0">
      <selection activeCell="B20" sqref="B20:C29"/>
    </sheetView>
  </sheetViews>
  <sheetFormatPr baseColWidth="10" defaultRowHeight="15" x14ac:dyDescent="0.25"/>
  <cols>
    <col min="2" max="2" width="22.5703125" customWidth="1"/>
    <col min="3" max="3" width="88.140625" bestFit="1" customWidth="1"/>
  </cols>
  <sheetData>
    <row r="4" spans="2:3" x14ac:dyDescent="0.25">
      <c r="B4" s="249" t="s">
        <v>103</v>
      </c>
    </row>
    <row r="6" spans="2:3" x14ac:dyDescent="0.25">
      <c r="B6" t="s">
        <v>99</v>
      </c>
      <c r="C6" s="285" t="s">
        <v>104</v>
      </c>
    </row>
    <row r="7" spans="2:3" ht="30" x14ac:dyDescent="0.25">
      <c r="B7" t="s">
        <v>100</v>
      </c>
      <c r="C7" s="285" t="s">
        <v>113</v>
      </c>
    </row>
    <row r="8" spans="2:3" ht="30" x14ac:dyDescent="0.25">
      <c r="B8" t="s">
        <v>76</v>
      </c>
      <c r="C8" s="285" t="s">
        <v>114</v>
      </c>
    </row>
    <row r="9" spans="2:3" ht="30" x14ac:dyDescent="0.25">
      <c r="B9" t="s">
        <v>77</v>
      </c>
      <c r="C9" s="285" t="s">
        <v>115</v>
      </c>
    </row>
    <row r="10" spans="2:3" ht="30" x14ac:dyDescent="0.25">
      <c r="B10" t="s">
        <v>78</v>
      </c>
      <c r="C10" s="285" t="s">
        <v>116</v>
      </c>
    </row>
    <row r="11" spans="2:3" ht="45" x14ac:dyDescent="0.25">
      <c r="B11" t="s">
        <v>101</v>
      </c>
      <c r="C11" s="285" t="s">
        <v>118</v>
      </c>
    </row>
    <row r="12" spans="2:3" ht="30" x14ac:dyDescent="0.25">
      <c r="B12" t="s">
        <v>102</v>
      </c>
      <c r="C12" s="285" t="s">
        <v>117</v>
      </c>
    </row>
    <row r="15" spans="2:3" x14ac:dyDescent="0.25">
      <c r="B15" t="s">
        <v>105</v>
      </c>
    </row>
    <row r="16" spans="2:3" x14ac:dyDescent="0.25">
      <c r="B16" t="s">
        <v>107</v>
      </c>
      <c r="C16" t="s">
        <v>108</v>
      </c>
    </row>
    <row r="17" spans="2:3" x14ac:dyDescent="0.25">
      <c r="B17" t="s">
        <v>106</v>
      </c>
      <c r="C17" t="s">
        <v>109</v>
      </c>
    </row>
    <row r="18" spans="2:3" x14ac:dyDescent="0.25">
      <c r="B18" t="s">
        <v>110</v>
      </c>
      <c r="C18" t="s">
        <v>111</v>
      </c>
    </row>
    <row r="20" spans="2:3" x14ac:dyDescent="0.25">
      <c r="B20" s="284" t="s">
        <v>112</v>
      </c>
      <c r="C20" s="284"/>
    </row>
    <row r="21" spans="2:3" x14ac:dyDescent="0.25">
      <c r="B21" s="284"/>
      <c r="C21" s="284"/>
    </row>
    <row r="22" spans="2:3" x14ac:dyDescent="0.25">
      <c r="B22" s="284"/>
      <c r="C22" s="284"/>
    </row>
    <row r="23" spans="2:3" x14ac:dyDescent="0.25">
      <c r="B23" s="284"/>
      <c r="C23" s="284"/>
    </row>
    <row r="24" spans="2:3" x14ac:dyDescent="0.25">
      <c r="B24" s="284"/>
      <c r="C24" s="284"/>
    </row>
    <row r="25" spans="2:3" x14ac:dyDescent="0.25">
      <c r="B25" s="284"/>
      <c r="C25" s="284"/>
    </row>
    <row r="26" spans="2:3" x14ac:dyDescent="0.25">
      <c r="B26" s="284"/>
      <c r="C26" s="284"/>
    </row>
    <row r="27" spans="2:3" x14ac:dyDescent="0.25">
      <c r="B27" s="284"/>
      <c r="C27" s="284"/>
    </row>
    <row r="28" spans="2:3" x14ac:dyDescent="0.25">
      <c r="B28" s="284"/>
      <c r="C28" s="284"/>
    </row>
    <row r="29" spans="2:3" x14ac:dyDescent="0.25">
      <c r="B29" s="284"/>
      <c r="C29" s="284"/>
    </row>
  </sheetData>
  <mergeCells count="1">
    <mergeCell ref="B20:C2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59"/>
  <sheetViews>
    <sheetView topLeftCell="A37" zoomScale="85" zoomScaleNormal="85" workbookViewId="0">
      <selection activeCell="P43" sqref="P43"/>
    </sheetView>
  </sheetViews>
  <sheetFormatPr baseColWidth="10" defaultRowHeight="15" x14ac:dyDescent="0.25"/>
  <cols>
    <col min="3" max="3" width="16.28515625" style="115" customWidth="1"/>
    <col min="4" max="4" width="12.42578125" bestFit="1" customWidth="1"/>
    <col min="5" max="5" width="13" bestFit="1" customWidth="1"/>
    <col min="6" max="6" width="13.140625" bestFit="1" customWidth="1"/>
    <col min="7" max="7" width="15.28515625" bestFit="1" customWidth="1"/>
    <col min="8" max="8" width="11.42578125" customWidth="1"/>
    <col min="10" max="10" width="14.5703125" bestFit="1" customWidth="1"/>
    <col min="11" max="11" width="13.28515625" bestFit="1" customWidth="1"/>
    <col min="12" max="12" width="15.5703125" bestFit="1" customWidth="1"/>
    <col min="13" max="13" width="16.7109375" bestFit="1" customWidth="1"/>
    <col min="14" max="14" width="15.5703125" bestFit="1" customWidth="1"/>
    <col min="15" max="15" width="16.7109375" bestFit="1" customWidth="1"/>
    <col min="16" max="16" width="14.140625" bestFit="1" customWidth="1"/>
    <col min="17" max="17" width="14.5703125" bestFit="1" customWidth="1"/>
    <col min="18" max="19" width="14.140625" bestFit="1" customWidth="1"/>
    <col min="20" max="20" width="15.7109375" bestFit="1" customWidth="1"/>
    <col min="21" max="21" width="16" bestFit="1" customWidth="1"/>
    <col min="22" max="22" width="13.5703125" bestFit="1" customWidth="1"/>
    <col min="23" max="23" width="12.140625" bestFit="1" customWidth="1"/>
    <col min="24" max="24" width="11.5703125" bestFit="1" customWidth="1"/>
    <col min="25" max="25" width="14.5703125" bestFit="1" customWidth="1"/>
    <col min="26" max="26" width="13.28515625" bestFit="1" customWidth="1"/>
    <col min="27" max="29" width="11.5703125" bestFit="1" customWidth="1"/>
    <col min="30" max="30" width="11.42578125" customWidth="1"/>
    <col min="31" max="31" width="15.28515625" bestFit="1" customWidth="1"/>
    <col min="32" max="32" width="13.140625" bestFit="1" customWidth="1"/>
    <col min="33" max="33" width="13.5703125" bestFit="1" customWidth="1"/>
    <col min="34" max="34" width="14" bestFit="1" customWidth="1"/>
    <col min="35" max="35" width="12.140625" bestFit="1" customWidth="1"/>
    <col min="36" max="36" width="11.5703125" bestFit="1" customWidth="1"/>
  </cols>
  <sheetData>
    <row r="2" spans="1:36" x14ac:dyDescent="0.25">
      <c r="A2" s="5"/>
      <c r="B2" s="5"/>
      <c r="C2" s="4"/>
      <c r="D2" s="4"/>
      <c r="E2" s="4"/>
      <c r="F2" s="2"/>
      <c r="G2" s="4"/>
      <c r="H2" s="255" t="s">
        <v>24</v>
      </c>
      <c r="I2" s="255"/>
      <c r="J2" s="256" t="s">
        <v>25</v>
      </c>
      <c r="K2" s="256"/>
      <c r="M2" s="264" t="s">
        <v>20</v>
      </c>
      <c r="N2" s="255"/>
      <c r="O2" s="255" t="s">
        <v>17</v>
      </c>
      <c r="P2" s="255"/>
      <c r="W2" s="264" t="s">
        <v>21</v>
      </c>
      <c r="X2" s="255"/>
      <c r="Y2" s="256" t="s">
        <v>18</v>
      </c>
      <c r="Z2" s="256"/>
      <c r="AG2" s="5"/>
      <c r="AH2" s="5"/>
      <c r="AI2" s="5"/>
      <c r="AJ2" s="5"/>
    </row>
    <row r="3" spans="1:36" x14ac:dyDescent="0.25">
      <c r="A3" s="6" t="s">
        <v>7</v>
      </c>
      <c r="B3" s="6" t="s">
        <v>8</v>
      </c>
      <c r="C3" s="7" t="s">
        <v>64</v>
      </c>
      <c r="D3" s="7" t="s">
        <v>65</v>
      </c>
      <c r="E3" s="7" t="s">
        <v>66</v>
      </c>
      <c r="F3" s="8" t="s">
        <v>67</v>
      </c>
      <c r="G3" s="7" t="s">
        <v>68</v>
      </c>
      <c r="H3" s="6" t="s">
        <v>50</v>
      </c>
      <c r="I3" s="6" t="s">
        <v>51</v>
      </c>
      <c r="J3" s="6" t="s">
        <v>50</v>
      </c>
      <c r="K3" s="6" t="s">
        <v>51</v>
      </c>
      <c r="L3" s="6"/>
      <c r="M3" s="8" t="s">
        <v>13</v>
      </c>
      <c r="N3" s="6" t="s">
        <v>12</v>
      </c>
      <c r="O3" s="6" t="s">
        <v>13</v>
      </c>
      <c r="P3" s="6" t="s">
        <v>12</v>
      </c>
      <c r="Q3" s="6"/>
      <c r="R3" s="6"/>
      <c r="S3" s="6"/>
      <c r="T3" s="6"/>
      <c r="U3" s="6"/>
      <c r="V3" s="6"/>
      <c r="W3" s="8" t="s">
        <v>13</v>
      </c>
      <c r="X3" s="6" t="s">
        <v>12</v>
      </c>
      <c r="Y3" s="6" t="s">
        <v>13</v>
      </c>
      <c r="Z3" s="6" t="s">
        <v>12</v>
      </c>
      <c r="AA3" s="6"/>
      <c r="AB3" s="6"/>
      <c r="AC3" s="6"/>
      <c r="AD3" s="6"/>
      <c r="AE3" s="6"/>
      <c r="AF3" s="6"/>
      <c r="AG3" s="5"/>
      <c r="AH3" s="5"/>
      <c r="AI3" s="5"/>
      <c r="AJ3" s="5"/>
    </row>
    <row r="4" spans="1:36" x14ac:dyDescent="0.25">
      <c r="A4" s="260">
        <v>2012</v>
      </c>
      <c r="B4" s="12" t="s">
        <v>0</v>
      </c>
      <c r="C4" s="200">
        <v>1340259</v>
      </c>
      <c r="D4" s="13">
        <v>156038</v>
      </c>
      <c r="E4" s="13">
        <v>2810</v>
      </c>
      <c r="F4" s="13">
        <v>560</v>
      </c>
      <c r="G4" s="200">
        <v>476</v>
      </c>
      <c r="H4" s="199">
        <v>0</v>
      </c>
      <c r="I4" s="29">
        <v>476</v>
      </c>
      <c r="J4" s="29">
        <v>0</v>
      </c>
      <c r="K4" s="29">
        <v>476</v>
      </c>
      <c r="L4" s="29"/>
      <c r="M4" s="13">
        <v>132</v>
      </c>
      <c r="N4" s="14">
        <v>59</v>
      </c>
      <c r="O4" s="29">
        <v>0</v>
      </c>
      <c r="P4" s="29">
        <v>0</v>
      </c>
      <c r="Q4" s="29"/>
      <c r="R4" s="29"/>
      <c r="S4" s="29"/>
      <c r="T4" s="29"/>
      <c r="U4" s="29"/>
      <c r="V4" s="29"/>
      <c r="W4" s="13">
        <v>61</v>
      </c>
      <c r="X4" s="14">
        <v>7</v>
      </c>
      <c r="Y4">
        <v>5</v>
      </c>
      <c r="Z4">
        <v>0</v>
      </c>
      <c r="AA4" s="29"/>
      <c r="AB4" s="29"/>
      <c r="AC4" s="29"/>
      <c r="AD4" s="29"/>
      <c r="AE4" s="29"/>
      <c r="AF4" s="29"/>
      <c r="AG4" s="29"/>
      <c r="AH4" s="29"/>
      <c r="AI4" s="29"/>
      <c r="AJ4" s="29"/>
    </row>
    <row r="5" spans="1:36" x14ac:dyDescent="0.25">
      <c r="A5" s="261"/>
      <c r="B5" s="5" t="s">
        <v>1</v>
      </c>
      <c r="C5" s="201">
        <v>2745306</v>
      </c>
      <c r="D5" s="3">
        <v>294149</v>
      </c>
      <c r="E5" s="3">
        <v>5338</v>
      </c>
      <c r="F5" s="3">
        <v>1945</v>
      </c>
      <c r="G5" s="201">
        <v>1534</v>
      </c>
      <c r="H5" s="29">
        <v>11</v>
      </c>
      <c r="I5" s="29">
        <v>1523</v>
      </c>
      <c r="J5" s="29">
        <v>8</v>
      </c>
      <c r="K5" s="29">
        <v>1526</v>
      </c>
      <c r="L5" s="29"/>
      <c r="M5" s="3">
        <v>494</v>
      </c>
      <c r="N5" s="9">
        <v>329</v>
      </c>
      <c r="O5" s="29">
        <v>1</v>
      </c>
      <c r="P5" s="29">
        <v>1</v>
      </c>
      <c r="Q5" s="29"/>
      <c r="R5" s="29"/>
      <c r="S5" s="29"/>
      <c r="T5" s="29"/>
      <c r="U5" s="29"/>
      <c r="V5" s="29"/>
      <c r="W5" s="3">
        <v>158</v>
      </c>
      <c r="X5" s="9">
        <v>61</v>
      </c>
      <c r="Y5">
        <v>16</v>
      </c>
      <c r="Z5">
        <v>6</v>
      </c>
      <c r="AA5" s="29"/>
      <c r="AB5" s="29"/>
      <c r="AC5" s="29"/>
      <c r="AD5" s="29"/>
      <c r="AE5" s="29"/>
      <c r="AF5" s="29"/>
      <c r="AG5" s="29"/>
      <c r="AH5" s="29"/>
      <c r="AI5" s="29"/>
      <c r="AJ5" s="29"/>
    </row>
    <row r="6" spans="1:36" x14ac:dyDescent="0.25">
      <c r="A6" s="261"/>
      <c r="B6" s="5" t="s">
        <v>2</v>
      </c>
      <c r="C6" s="201">
        <v>2788986</v>
      </c>
      <c r="D6" s="3">
        <v>303176</v>
      </c>
      <c r="E6" s="3">
        <v>3398</v>
      </c>
      <c r="F6" s="3">
        <v>1236</v>
      </c>
      <c r="G6" s="201">
        <v>1102</v>
      </c>
      <c r="H6" s="5">
        <v>3</v>
      </c>
      <c r="I6" s="29">
        <v>1099</v>
      </c>
      <c r="J6" s="115">
        <v>5</v>
      </c>
      <c r="K6" s="115">
        <v>1097</v>
      </c>
      <c r="L6" s="115"/>
      <c r="M6" s="3">
        <v>168</v>
      </c>
      <c r="N6" s="9">
        <v>115</v>
      </c>
      <c r="O6" s="29">
        <v>0</v>
      </c>
      <c r="P6">
        <v>2</v>
      </c>
      <c r="Q6" s="115"/>
      <c r="R6" s="115"/>
      <c r="S6" s="115"/>
      <c r="T6" s="115"/>
      <c r="U6" s="115"/>
      <c r="V6" s="115"/>
      <c r="W6" s="3">
        <v>91</v>
      </c>
      <c r="X6" s="9">
        <v>21</v>
      </c>
      <c r="Y6">
        <v>8</v>
      </c>
      <c r="Z6">
        <v>1</v>
      </c>
      <c r="AA6" s="115"/>
      <c r="AB6" s="115"/>
      <c r="AC6" s="115"/>
      <c r="AD6" s="115"/>
      <c r="AE6" s="115"/>
      <c r="AF6" s="115"/>
      <c r="AG6" s="5"/>
      <c r="AH6" s="5"/>
      <c r="AI6" s="5"/>
      <c r="AJ6" s="5"/>
    </row>
    <row r="7" spans="1:36" x14ac:dyDescent="0.25">
      <c r="A7" s="261"/>
      <c r="B7" s="5" t="s">
        <v>3</v>
      </c>
      <c r="C7" s="201">
        <v>6216336</v>
      </c>
      <c r="D7" s="3">
        <v>715550</v>
      </c>
      <c r="E7" s="3">
        <v>7110</v>
      </c>
      <c r="F7" s="3">
        <v>2279</v>
      </c>
      <c r="G7" s="201">
        <v>2032</v>
      </c>
      <c r="H7" s="29">
        <v>116</v>
      </c>
      <c r="I7" s="29">
        <v>1916</v>
      </c>
      <c r="J7" s="29">
        <v>86</v>
      </c>
      <c r="K7" s="29">
        <v>1946</v>
      </c>
      <c r="L7" s="29"/>
      <c r="M7" s="3">
        <v>154</v>
      </c>
      <c r="N7" s="9">
        <v>59</v>
      </c>
      <c r="O7" s="29">
        <v>0</v>
      </c>
      <c r="P7" s="29">
        <v>0</v>
      </c>
      <c r="Q7" s="29"/>
      <c r="R7" s="29"/>
      <c r="S7" s="29"/>
      <c r="T7" s="29"/>
      <c r="U7" s="29"/>
      <c r="V7" s="29"/>
      <c r="W7" s="3">
        <v>120</v>
      </c>
      <c r="X7" s="9">
        <v>16</v>
      </c>
      <c r="Y7" s="9">
        <v>6</v>
      </c>
      <c r="Z7" s="9">
        <v>0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8" spans="1:36" x14ac:dyDescent="0.25">
      <c r="A8" s="261"/>
      <c r="B8" s="5" t="s">
        <v>4</v>
      </c>
      <c r="C8" s="201">
        <v>16223807</v>
      </c>
      <c r="D8" s="3">
        <v>1966463</v>
      </c>
      <c r="E8" s="3">
        <v>20564</v>
      </c>
      <c r="F8" s="3">
        <v>6893</v>
      </c>
      <c r="G8" s="201">
        <v>6601</v>
      </c>
      <c r="H8" s="29">
        <v>5580</v>
      </c>
      <c r="I8" s="29">
        <v>1021</v>
      </c>
      <c r="J8" s="29">
        <v>5215</v>
      </c>
      <c r="K8" s="29">
        <v>1386</v>
      </c>
      <c r="L8" s="29"/>
      <c r="M8" s="3">
        <v>239</v>
      </c>
      <c r="N8" s="9">
        <v>91</v>
      </c>
      <c r="O8" s="29">
        <v>1</v>
      </c>
      <c r="P8" s="29">
        <v>1</v>
      </c>
      <c r="Q8" s="29"/>
      <c r="R8" s="29"/>
      <c r="S8" s="29"/>
      <c r="T8" s="29"/>
      <c r="U8" s="29"/>
      <c r="V8" s="29"/>
      <c r="W8" s="3">
        <v>209</v>
      </c>
      <c r="X8" s="9">
        <v>12</v>
      </c>
      <c r="Y8" s="9">
        <v>13</v>
      </c>
      <c r="Z8" s="9">
        <v>0</v>
      </c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1:36" x14ac:dyDescent="0.25">
      <c r="A9" s="261"/>
      <c r="B9" s="5" t="s">
        <v>5</v>
      </c>
      <c r="C9" s="201">
        <v>29504293</v>
      </c>
      <c r="D9" s="3">
        <v>3199497</v>
      </c>
      <c r="E9" s="3">
        <v>28228</v>
      </c>
      <c r="F9" s="3">
        <v>9725</v>
      </c>
      <c r="G9" s="201">
        <v>9478</v>
      </c>
      <c r="H9" s="29">
        <v>8836</v>
      </c>
      <c r="I9" s="29">
        <v>642</v>
      </c>
      <c r="J9" s="29">
        <v>8407</v>
      </c>
      <c r="K9" s="29">
        <v>1071</v>
      </c>
      <c r="L9" s="29"/>
      <c r="M9" s="3">
        <v>299</v>
      </c>
      <c r="N9" s="9">
        <v>105</v>
      </c>
      <c r="O9" s="29">
        <v>1</v>
      </c>
      <c r="P9" s="29">
        <v>0</v>
      </c>
      <c r="Q9" s="29"/>
      <c r="R9" s="29"/>
      <c r="S9" s="29"/>
      <c r="T9" s="29"/>
      <c r="U9" s="29"/>
      <c r="V9" s="29"/>
      <c r="W9" s="3">
        <v>412</v>
      </c>
      <c r="X9" s="9">
        <v>44</v>
      </c>
      <c r="Y9" s="9">
        <v>23</v>
      </c>
      <c r="Z9" s="9">
        <v>1</v>
      </c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36" x14ac:dyDescent="0.25">
      <c r="A10" s="261"/>
      <c r="B10" s="6" t="s">
        <v>6</v>
      </c>
      <c r="C10" s="202">
        <v>21704759</v>
      </c>
      <c r="D10" s="10">
        <v>1403735</v>
      </c>
      <c r="E10" s="10">
        <v>7009</v>
      </c>
      <c r="F10" s="10">
        <v>2585</v>
      </c>
      <c r="G10" s="202">
        <v>2479</v>
      </c>
      <c r="H10" s="30">
        <v>2337</v>
      </c>
      <c r="I10" s="30">
        <v>142</v>
      </c>
      <c r="J10" s="30">
        <v>2285</v>
      </c>
      <c r="K10" s="30">
        <v>194</v>
      </c>
      <c r="L10" s="30"/>
      <c r="M10" s="10">
        <v>94</v>
      </c>
      <c r="N10" s="11">
        <v>19</v>
      </c>
      <c r="O10" s="30">
        <v>0</v>
      </c>
      <c r="P10" s="30">
        <v>0</v>
      </c>
      <c r="Q10" s="30"/>
      <c r="R10" s="30"/>
      <c r="S10" s="30"/>
      <c r="T10" s="30"/>
      <c r="U10" s="30"/>
      <c r="V10" s="30"/>
      <c r="W10" s="10">
        <v>227</v>
      </c>
      <c r="X10" s="11">
        <v>21</v>
      </c>
      <c r="Y10" s="11">
        <v>17</v>
      </c>
      <c r="Z10" s="11">
        <v>1</v>
      </c>
      <c r="AA10" s="30"/>
      <c r="AB10" s="30"/>
      <c r="AC10" s="30"/>
      <c r="AD10" s="30"/>
      <c r="AE10" s="30"/>
      <c r="AF10" s="30"/>
      <c r="AG10" s="29"/>
      <c r="AH10" s="29"/>
      <c r="AI10" s="29"/>
      <c r="AJ10" s="29"/>
    </row>
    <row r="11" spans="1:36" ht="15.75" thickBot="1" x14ac:dyDescent="0.3">
      <c r="A11" s="262"/>
      <c r="B11" s="15" t="s">
        <v>14</v>
      </c>
      <c r="C11" s="203">
        <v>80523746</v>
      </c>
      <c r="D11" s="16">
        <f t="shared" ref="D11:K11" si="0">SUM(D4:D10)</f>
        <v>8038608</v>
      </c>
      <c r="E11" s="16">
        <f t="shared" si="0"/>
        <v>74457</v>
      </c>
      <c r="F11" s="16">
        <f t="shared" si="0"/>
        <v>25223</v>
      </c>
      <c r="G11" s="203">
        <f t="shared" si="0"/>
        <v>23702</v>
      </c>
      <c r="H11" s="17">
        <f t="shared" si="0"/>
        <v>16883</v>
      </c>
      <c r="I11" s="17">
        <f t="shared" si="0"/>
        <v>6819</v>
      </c>
      <c r="J11" s="17">
        <f t="shared" si="0"/>
        <v>16006</v>
      </c>
      <c r="K11" s="17">
        <f t="shared" si="0"/>
        <v>7696</v>
      </c>
      <c r="L11" s="17"/>
      <c r="M11" s="16">
        <f>SUM(M4:M10)</f>
        <v>1580</v>
      </c>
      <c r="N11" s="17">
        <f>SUM(N4:N10)</f>
        <v>777</v>
      </c>
      <c r="O11" s="17">
        <f>SUM(O4:O10)</f>
        <v>3</v>
      </c>
      <c r="P11" s="17">
        <f>SUM(P4:P10)</f>
        <v>4</v>
      </c>
      <c r="Q11" s="17"/>
      <c r="R11" s="17"/>
      <c r="S11" s="17"/>
      <c r="T11" s="17"/>
      <c r="U11" s="17"/>
      <c r="V11" s="17"/>
      <c r="W11" s="16">
        <f>SUM(W4:W10)</f>
        <v>1278</v>
      </c>
      <c r="X11" s="17">
        <f>SUM(X4:X10)</f>
        <v>182</v>
      </c>
      <c r="Y11" s="17">
        <f>SUM(Y4:Y10)</f>
        <v>88</v>
      </c>
      <c r="Z11" s="17">
        <f>SUM(Z4:Z10)</f>
        <v>9</v>
      </c>
      <c r="AA11" s="17"/>
      <c r="AB11" s="17"/>
      <c r="AC11" s="17"/>
      <c r="AD11" s="17"/>
      <c r="AE11" s="17"/>
      <c r="AF11" s="17"/>
      <c r="AG11" s="9"/>
      <c r="AH11" s="9"/>
      <c r="AI11" s="9"/>
      <c r="AJ11" s="9"/>
    </row>
    <row r="12" spans="1:36" ht="15.75" thickTop="1" x14ac:dyDescent="0.25">
      <c r="A12" s="263">
        <v>2013</v>
      </c>
      <c r="B12" s="5" t="s">
        <v>0</v>
      </c>
      <c r="C12" s="201">
        <v>1367407</v>
      </c>
      <c r="D12" s="3">
        <v>167938</v>
      </c>
      <c r="E12" s="3">
        <v>5001</v>
      </c>
      <c r="F12" s="3">
        <v>824</v>
      </c>
      <c r="G12" s="201">
        <v>746</v>
      </c>
      <c r="H12" s="29">
        <v>0</v>
      </c>
      <c r="I12" s="29">
        <v>746</v>
      </c>
      <c r="J12" s="29">
        <v>1</v>
      </c>
      <c r="K12" s="29">
        <v>745</v>
      </c>
      <c r="L12" s="29"/>
      <c r="M12" s="3">
        <v>208</v>
      </c>
      <c r="N12" s="9">
        <v>116</v>
      </c>
      <c r="O12" s="29">
        <v>0</v>
      </c>
      <c r="P12" s="29">
        <v>0</v>
      </c>
      <c r="Q12" s="29"/>
      <c r="R12" s="29"/>
      <c r="S12" s="29"/>
      <c r="T12" s="29"/>
      <c r="U12" s="29"/>
      <c r="V12" s="29"/>
      <c r="W12" s="3">
        <v>101</v>
      </c>
      <c r="X12" s="9">
        <v>25</v>
      </c>
      <c r="Y12">
        <v>16</v>
      </c>
      <c r="Z12" s="9">
        <v>5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x14ac:dyDescent="0.25">
      <c r="A13" s="261"/>
      <c r="B13" s="5" t="s">
        <v>1</v>
      </c>
      <c r="C13" s="201">
        <v>2741092</v>
      </c>
      <c r="D13" s="3">
        <v>313284</v>
      </c>
      <c r="E13" s="3">
        <v>12183</v>
      </c>
      <c r="F13" s="3">
        <v>4197</v>
      </c>
      <c r="G13" s="201">
        <v>3470</v>
      </c>
      <c r="H13" s="29">
        <v>22</v>
      </c>
      <c r="I13" s="29">
        <v>3448</v>
      </c>
      <c r="J13" s="29">
        <v>23</v>
      </c>
      <c r="K13" s="29">
        <v>3447</v>
      </c>
      <c r="L13" s="29"/>
      <c r="M13" s="3">
        <v>1183</v>
      </c>
      <c r="N13" s="9">
        <v>882</v>
      </c>
      <c r="O13" s="29">
        <v>2</v>
      </c>
      <c r="P13" s="29">
        <v>1</v>
      </c>
      <c r="Q13" s="29"/>
      <c r="R13" s="29"/>
      <c r="S13" s="29"/>
      <c r="T13" s="29"/>
      <c r="U13" s="29"/>
      <c r="V13" s="29"/>
      <c r="W13" s="3">
        <v>406</v>
      </c>
      <c r="X13" s="9">
        <v>130</v>
      </c>
      <c r="Y13" s="9">
        <v>42</v>
      </c>
      <c r="Z13" s="9">
        <v>9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x14ac:dyDescent="0.25">
      <c r="A14" s="261"/>
      <c r="B14" s="5" t="s">
        <v>2</v>
      </c>
      <c r="C14" s="201">
        <v>2789553</v>
      </c>
      <c r="D14" s="3">
        <v>307783</v>
      </c>
      <c r="E14" s="3">
        <v>8974</v>
      </c>
      <c r="F14" s="3">
        <v>3229</v>
      </c>
      <c r="G14" s="201">
        <v>2913</v>
      </c>
      <c r="H14" s="29">
        <v>30</v>
      </c>
      <c r="I14" s="29">
        <v>2883</v>
      </c>
      <c r="J14" s="29">
        <v>26</v>
      </c>
      <c r="K14" s="29">
        <v>2887</v>
      </c>
      <c r="L14" s="29"/>
      <c r="M14" s="3">
        <v>460</v>
      </c>
      <c r="N14" s="9">
        <v>318</v>
      </c>
      <c r="O14" s="29">
        <v>1</v>
      </c>
      <c r="P14" s="29">
        <v>1</v>
      </c>
      <c r="Q14" s="29"/>
      <c r="R14" s="29"/>
      <c r="S14" s="29"/>
      <c r="T14" s="29"/>
      <c r="U14" s="29"/>
      <c r="V14" s="29"/>
      <c r="W14" s="3">
        <v>165</v>
      </c>
      <c r="X14" s="9">
        <v>43</v>
      </c>
      <c r="Y14" s="9">
        <v>9</v>
      </c>
      <c r="Z14" s="9">
        <v>3</v>
      </c>
      <c r="AA14" s="29"/>
      <c r="AB14" s="29"/>
      <c r="AC14" s="29"/>
      <c r="AD14" s="29"/>
      <c r="AE14" s="29"/>
      <c r="AF14" s="29"/>
      <c r="AG14" s="29"/>
      <c r="AH14" s="29"/>
      <c r="AI14" s="29"/>
      <c r="AJ14" s="29"/>
    </row>
    <row r="15" spans="1:36" x14ac:dyDescent="0.25">
      <c r="A15" s="261"/>
      <c r="B15" s="5" t="s">
        <v>3</v>
      </c>
      <c r="C15" s="201">
        <v>6177477</v>
      </c>
      <c r="D15" s="3">
        <v>729282</v>
      </c>
      <c r="E15" s="3">
        <v>14916</v>
      </c>
      <c r="F15" s="3">
        <v>5050</v>
      </c>
      <c r="G15" s="201">
        <v>4722</v>
      </c>
      <c r="H15" s="29">
        <v>229</v>
      </c>
      <c r="I15" s="29">
        <v>4493</v>
      </c>
      <c r="J15" s="29">
        <v>207</v>
      </c>
      <c r="K15" s="29">
        <v>4515</v>
      </c>
      <c r="L15" s="29"/>
      <c r="M15" s="3">
        <v>333</v>
      </c>
      <c r="N15" s="9">
        <v>152</v>
      </c>
      <c r="O15" s="29">
        <v>1</v>
      </c>
      <c r="P15" s="29">
        <v>0</v>
      </c>
      <c r="Q15" s="29"/>
      <c r="R15" s="29"/>
      <c r="S15" s="29"/>
      <c r="T15" s="29"/>
      <c r="U15" s="29"/>
      <c r="V15" s="29"/>
      <c r="W15" s="3">
        <v>178</v>
      </c>
      <c r="X15" s="9">
        <v>27</v>
      </c>
      <c r="Y15" s="9">
        <v>5</v>
      </c>
      <c r="Z15" s="9">
        <v>0</v>
      </c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x14ac:dyDescent="0.25">
      <c r="A16" s="261"/>
      <c r="B16" s="5" t="s">
        <v>4</v>
      </c>
      <c r="C16" s="201">
        <v>16311826</v>
      </c>
      <c r="D16" s="3">
        <v>2083686</v>
      </c>
      <c r="E16" s="3">
        <v>36252</v>
      </c>
      <c r="F16" s="3">
        <v>12075</v>
      </c>
      <c r="G16" s="201">
        <v>11819</v>
      </c>
      <c r="H16" s="29">
        <v>10091</v>
      </c>
      <c r="I16" s="29">
        <v>1728</v>
      </c>
      <c r="J16" s="29">
        <v>9405</v>
      </c>
      <c r="K16" s="29">
        <v>2414</v>
      </c>
      <c r="L16" s="29"/>
      <c r="M16" s="3">
        <v>409</v>
      </c>
      <c r="N16" s="9">
        <v>164</v>
      </c>
      <c r="O16" s="29">
        <v>3</v>
      </c>
      <c r="P16" s="29">
        <v>1</v>
      </c>
      <c r="Q16" s="29"/>
      <c r="R16" s="29"/>
      <c r="S16" s="29"/>
      <c r="T16" s="29"/>
      <c r="U16" s="29"/>
      <c r="V16" s="29"/>
      <c r="W16" s="3">
        <v>287</v>
      </c>
      <c r="X16" s="9">
        <v>31</v>
      </c>
      <c r="Y16" s="9">
        <v>12</v>
      </c>
      <c r="Z16" s="9">
        <v>3</v>
      </c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x14ac:dyDescent="0.25">
      <c r="A17" s="261"/>
      <c r="B17" s="5" t="s">
        <v>5</v>
      </c>
      <c r="C17" s="201">
        <v>29432348</v>
      </c>
      <c r="D17" s="3">
        <v>3324677</v>
      </c>
      <c r="E17" s="3">
        <v>61527</v>
      </c>
      <c r="F17" s="3">
        <v>21082</v>
      </c>
      <c r="G17" s="201">
        <v>20869</v>
      </c>
      <c r="H17" s="29">
        <v>19580</v>
      </c>
      <c r="I17" s="29">
        <v>1289</v>
      </c>
      <c r="J17" s="29">
        <v>18707</v>
      </c>
      <c r="K17" s="29">
        <v>2162</v>
      </c>
      <c r="L17" s="29"/>
      <c r="M17" s="3">
        <v>600</v>
      </c>
      <c r="N17" s="9">
        <v>248</v>
      </c>
      <c r="O17" s="29">
        <v>4</v>
      </c>
      <c r="P17" s="29">
        <v>3</v>
      </c>
      <c r="Q17" s="29"/>
      <c r="R17" s="29"/>
      <c r="S17" s="29"/>
      <c r="T17" s="29"/>
      <c r="U17" s="29"/>
      <c r="V17" s="29"/>
      <c r="W17" s="3">
        <v>887</v>
      </c>
      <c r="X17" s="9">
        <v>141</v>
      </c>
      <c r="Y17" s="9">
        <v>41</v>
      </c>
      <c r="Z17" s="9">
        <v>4</v>
      </c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x14ac:dyDescent="0.25">
      <c r="A18" s="261"/>
      <c r="B18" s="6" t="s">
        <v>6</v>
      </c>
      <c r="C18" s="202">
        <v>21947760</v>
      </c>
      <c r="D18" s="10">
        <v>1485549</v>
      </c>
      <c r="E18" s="10">
        <v>11465</v>
      </c>
      <c r="F18" s="10">
        <v>4342</v>
      </c>
      <c r="G18" s="202">
        <v>4247</v>
      </c>
      <c r="H18" s="29">
        <v>3980</v>
      </c>
      <c r="I18" s="29">
        <v>267</v>
      </c>
      <c r="J18" s="29">
        <v>3939</v>
      </c>
      <c r="K18" s="29">
        <v>308</v>
      </c>
      <c r="L18" s="29"/>
      <c r="M18" s="10">
        <v>128</v>
      </c>
      <c r="N18" s="11">
        <v>40</v>
      </c>
      <c r="O18" s="29">
        <v>0</v>
      </c>
      <c r="P18" s="29">
        <v>0</v>
      </c>
      <c r="Q18" s="29"/>
      <c r="R18" s="29"/>
      <c r="S18" s="29"/>
      <c r="T18" s="29"/>
      <c r="U18" s="29"/>
      <c r="V18" s="29"/>
      <c r="W18" s="10">
        <v>363</v>
      </c>
      <c r="X18" s="11">
        <v>29</v>
      </c>
      <c r="Y18" s="11">
        <v>50</v>
      </c>
      <c r="Z18" s="11">
        <v>5</v>
      </c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ht="15.75" thickBot="1" x14ac:dyDescent="0.3">
      <c r="A19" s="262"/>
      <c r="B19" s="15" t="s">
        <v>14</v>
      </c>
      <c r="C19" s="203">
        <v>80767463</v>
      </c>
      <c r="D19" s="16">
        <f t="shared" ref="D19:K19" si="1">SUM(D12:D18)</f>
        <v>8412199</v>
      </c>
      <c r="E19" s="16">
        <f t="shared" si="1"/>
        <v>150318</v>
      </c>
      <c r="F19" s="16">
        <f t="shared" si="1"/>
        <v>50799</v>
      </c>
      <c r="G19" s="203">
        <f t="shared" si="1"/>
        <v>48786</v>
      </c>
      <c r="H19" s="17">
        <f t="shared" si="1"/>
        <v>33932</v>
      </c>
      <c r="I19" s="17">
        <f t="shared" si="1"/>
        <v>14854</v>
      </c>
      <c r="J19" s="17">
        <f t="shared" si="1"/>
        <v>32308</v>
      </c>
      <c r="K19" s="17">
        <f t="shared" si="1"/>
        <v>16478</v>
      </c>
      <c r="L19" s="17"/>
      <c r="M19" s="16">
        <f>SUM(M12:M18)</f>
        <v>3321</v>
      </c>
      <c r="N19" s="17">
        <f>SUM(N12:N18)</f>
        <v>1920</v>
      </c>
      <c r="O19" s="17">
        <f>SUM(O12:O18)</f>
        <v>11</v>
      </c>
      <c r="P19" s="17">
        <f>SUM(P12:P18)</f>
        <v>6</v>
      </c>
      <c r="Q19" s="17"/>
      <c r="R19" s="17"/>
      <c r="S19" s="17"/>
      <c r="T19" s="17"/>
      <c r="U19" s="17"/>
      <c r="V19" s="17"/>
      <c r="W19" s="16">
        <f>SUM(W12:W18)</f>
        <v>2387</v>
      </c>
      <c r="X19" s="17">
        <f>SUM(X12:X18)</f>
        <v>426</v>
      </c>
      <c r="Y19" s="17">
        <f>SUM(Y12:Y18)</f>
        <v>175</v>
      </c>
      <c r="Z19" s="17">
        <f>SUM(Z12:Z18)</f>
        <v>29</v>
      </c>
      <c r="AA19" s="17"/>
      <c r="AB19" s="17"/>
      <c r="AC19" s="17"/>
      <c r="AD19" s="17"/>
      <c r="AE19" s="17"/>
      <c r="AF19" s="17"/>
      <c r="AG19" s="9"/>
      <c r="AH19" s="9"/>
      <c r="AI19" s="9"/>
      <c r="AJ19" s="9"/>
    </row>
    <row r="20" spans="1:36" ht="15.75" thickTop="1" x14ac:dyDescent="0.25">
      <c r="A20" s="263">
        <v>2014</v>
      </c>
      <c r="B20" s="5" t="s">
        <v>0</v>
      </c>
      <c r="C20" s="201">
        <v>1412334</v>
      </c>
      <c r="D20" s="3">
        <v>181999</v>
      </c>
      <c r="E20" s="3">
        <v>2631</v>
      </c>
      <c r="F20" s="3">
        <v>551</v>
      </c>
      <c r="G20" s="201">
        <v>471</v>
      </c>
      <c r="H20" s="29">
        <v>1</v>
      </c>
      <c r="I20" s="29">
        <v>470</v>
      </c>
      <c r="J20" s="29">
        <v>0</v>
      </c>
      <c r="K20" s="29">
        <v>471</v>
      </c>
      <c r="L20" s="29"/>
      <c r="M20" s="3">
        <v>147</v>
      </c>
      <c r="N20" s="9">
        <v>68</v>
      </c>
      <c r="O20" s="29">
        <v>4</v>
      </c>
      <c r="P20" s="29">
        <v>0</v>
      </c>
      <c r="Q20" s="29"/>
      <c r="R20" s="29"/>
      <c r="S20" s="29"/>
      <c r="T20" s="29"/>
      <c r="U20" s="29"/>
      <c r="V20" s="29"/>
      <c r="W20" s="3">
        <v>51</v>
      </c>
      <c r="X20" s="9">
        <v>11</v>
      </c>
      <c r="Y20" s="9">
        <v>0</v>
      </c>
      <c r="Z20" s="9">
        <v>0</v>
      </c>
      <c r="AA20" s="29"/>
      <c r="AB20" s="29"/>
      <c r="AC20" s="29"/>
      <c r="AD20" s="29"/>
      <c r="AE20" s="29"/>
      <c r="AF20" s="29"/>
      <c r="AG20" s="29"/>
      <c r="AH20" s="29"/>
      <c r="AI20" s="29"/>
      <c r="AJ20" s="29"/>
    </row>
    <row r="21" spans="1:36" x14ac:dyDescent="0.25">
      <c r="A21" s="261"/>
      <c r="B21" s="5" t="s">
        <v>1</v>
      </c>
      <c r="C21" s="201">
        <v>2761928</v>
      </c>
      <c r="D21" s="3">
        <v>337143</v>
      </c>
      <c r="E21" s="3">
        <v>4311</v>
      </c>
      <c r="F21" s="3">
        <v>1613</v>
      </c>
      <c r="G21" s="201">
        <v>1320</v>
      </c>
      <c r="H21" s="29">
        <v>5</v>
      </c>
      <c r="I21" s="29">
        <v>1315</v>
      </c>
      <c r="J21" s="29">
        <v>8</v>
      </c>
      <c r="K21" s="29">
        <v>1312</v>
      </c>
      <c r="L21" s="29"/>
      <c r="M21" s="3">
        <v>445</v>
      </c>
      <c r="N21" s="9">
        <v>274</v>
      </c>
      <c r="O21" s="29">
        <v>1</v>
      </c>
      <c r="P21" s="29">
        <v>1</v>
      </c>
      <c r="Q21" s="29"/>
      <c r="R21" s="29"/>
      <c r="S21" s="29"/>
      <c r="T21" s="29"/>
      <c r="U21" s="29"/>
      <c r="V21" s="29"/>
      <c r="W21" s="3">
        <v>162</v>
      </c>
      <c r="X21" s="9">
        <v>42</v>
      </c>
      <c r="Y21" s="9">
        <v>18</v>
      </c>
      <c r="Z21" s="9">
        <v>1</v>
      </c>
      <c r="AA21" s="29"/>
      <c r="AB21" s="29"/>
      <c r="AC21" s="29"/>
      <c r="AD21" s="29"/>
      <c r="AE21" s="29"/>
      <c r="AF21" s="29"/>
      <c r="AG21" s="29"/>
      <c r="AH21" s="29"/>
      <c r="AI21" s="29"/>
      <c r="AJ21" s="29"/>
    </row>
    <row r="22" spans="1:36" x14ac:dyDescent="0.25">
      <c r="A22" s="261"/>
      <c r="B22" s="5" t="s">
        <v>2</v>
      </c>
      <c r="C22" s="201">
        <v>2803627</v>
      </c>
      <c r="D22" s="3">
        <v>315674</v>
      </c>
      <c r="E22" s="3">
        <v>2558</v>
      </c>
      <c r="F22" s="3">
        <v>950</v>
      </c>
      <c r="G22" s="201">
        <v>845</v>
      </c>
      <c r="H22" s="29">
        <v>6</v>
      </c>
      <c r="I22" s="29">
        <v>839</v>
      </c>
      <c r="J22" s="29">
        <v>3</v>
      </c>
      <c r="K22" s="29">
        <v>842</v>
      </c>
      <c r="L22" s="29"/>
      <c r="M22" s="3">
        <v>150</v>
      </c>
      <c r="N22" s="9">
        <v>64</v>
      </c>
      <c r="O22" s="29">
        <v>0</v>
      </c>
      <c r="P22" s="29">
        <v>0</v>
      </c>
      <c r="Q22" s="29"/>
      <c r="R22" s="29"/>
      <c r="S22" s="29"/>
      <c r="T22" s="29"/>
      <c r="U22" s="29"/>
      <c r="V22" s="29"/>
      <c r="W22" s="3">
        <v>68</v>
      </c>
      <c r="X22" s="9">
        <v>13</v>
      </c>
      <c r="Y22" s="9">
        <v>4</v>
      </c>
      <c r="Z22" s="9">
        <v>0</v>
      </c>
      <c r="AA22" s="29"/>
      <c r="AB22" s="29"/>
      <c r="AC22" s="29"/>
      <c r="AD22" s="29"/>
      <c r="AE22" s="29"/>
      <c r="AF22" s="29"/>
      <c r="AG22" s="29"/>
      <c r="AH22" s="29"/>
      <c r="AI22" s="29"/>
      <c r="AJ22" s="29"/>
    </row>
    <row r="23" spans="1:36" x14ac:dyDescent="0.25">
      <c r="A23" s="261"/>
      <c r="B23" s="5" t="s">
        <v>3</v>
      </c>
      <c r="C23" s="201">
        <v>6134131</v>
      </c>
      <c r="D23" s="3">
        <v>745198</v>
      </c>
      <c r="E23" s="3">
        <v>6047</v>
      </c>
      <c r="F23" s="3">
        <v>1855</v>
      </c>
      <c r="G23" s="201">
        <v>1651</v>
      </c>
      <c r="H23" s="29">
        <v>113</v>
      </c>
      <c r="I23" s="29">
        <v>1538</v>
      </c>
      <c r="J23" s="29">
        <v>72</v>
      </c>
      <c r="K23" s="29">
        <v>1579</v>
      </c>
      <c r="L23" s="29"/>
      <c r="M23" s="3">
        <v>122</v>
      </c>
      <c r="N23" s="9">
        <v>52</v>
      </c>
      <c r="O23" s="29">
        <v>0</v>
      </c>
      <c r="P23" s="29">
        <v>0</v>
      </c>
      <c r="Q23" s="29"/>
      <c r="R23" s="29"/>
      <c r="S23" s="29"/>
      <c r="T23" s="29"/>
      <c r="U23" s="29"/>
      <c r="V23" s="29"/>
      <c r="W23" s="3">
        <v>87</v>
      </c>
      <c r="X23" s="9">
        <v>4</v>
      </c>
      <c r="Y23" s="9">
        <v>3</v>
      </c>
      <c r="Z23" s="9">
        <v>0</v>
      </c>
      <c r="AA23" s="29"/>
      <c r="AB23" s="29"/>
      <c r="AC23" s="29"/>
      <c r="AD23" s="29"/>
      <c r="AE23" s="29"/>
      <c r="AF23" s="29"/>
      <c r="AG23" s="29"/>
      <c r="AH23" s="29"/>
      <c r="AI23" s="29"/>
      <c r="AJ23" s="29"/>
    </row>
    <row r="24" spans="1:36" x14ac:dyDescent="0.25">
      <c r="A24" s="261"/>
      <c r="B24" s="5" t="s">
        <v>4</v>
      </c>
      <c r="C24" s="201">
        <v>16468726</v>
      </c>
      <c r="D24" s="3">
        <v>2228836</v>
      </c>
      <c r="E24" s="3">
        <v>20803</v>
      </c>
      <c r="F24" s="3">
        <v>6949</v>
      </c>
      <c r="G24" s="201">
        <v>6639</v>
      </c>
      <c r="H24" s="29">
        <v>5688</v>
      </c>
      <c r="I24" s="29">
        <v>951</v>
      </c>
      <c r="J24" s="29">
        <v>5272</v>
      </c>
      <c r="K24" s="29">
        <v>1367</v>
      </c>
      <c r="L24" s="29"/>
      <c r="M24" s="3">
        <v>269</v>
      </c>
      <c r="N24" s="9">
        <v>79</v>
      </c>
      <c r="O24" s="29">
        <v>2</v>
      </c>
      <c r="P24" s="29">
        <v>0</v>
      </c>
      <c r="Q24" s="29"/>
      <c r="R24" s="29"/>
      <c r="S24" s="29"/>
      <c r="T24" s="29"/>
      <c r="U24" s="29"/>
      <c r="V24" s="29"/>
      <c r="W24" s="3">
        <v>162</v>
      </c>
      <c r="X24" s="9">
        <v>26</v>
      </c>
      <c r="Y24" s="9">
        <v>5</v>
      </c>
      <c r="Z24" s="9">
        <v>1</v>
      </c>
      <c r="AA24" s="29"/>
      <c r="AB24" s="29"/>
      <c r="AC24" s="29"/>
      <c r="AD24" s="29"/>
      <c r="AE24" s="29"/>
      <c r="AF24" s="29"/>
      <c r="AG24" s="29"/>
      <c r="AH24" s="29"/>
      <c r="AI24" s="29"/>
      <c r="AJ24" s="29"/>
    </row>
    <row r="25" spans="1:36" x14ac:dyDescent="0.25">
      <c r="A25" s="261"/>
      <c r="B25" s="5" t="s">
        <v>5</v>
      </c>
      <c r="C25" s="201">
        <v>29375103</v>
      </c>
      <c r="D25" s="3">
        <v>3469196</v>
      </c>
      <c r="E25" s="3">
        <v>27388</v>
      </c>
      <c r="F25" s="3">
        <v>9454</v>
      </c>
      <c r="G25" s="201">
        <v>9184</v>
      </c>
      <c r="H25" s="29">
        <v>8678</v>
      </c>
      <c r="I25" s="29">
        <v>506</v>
      </c>
      <c r="J25" s="29">
        <v>8297</v>
      </c>
      <c r="K25" s="29">
        <v>887</v>
      </c>
      <c r="L25" s="29"/>
      <c r="M25" s="3">
        <v>316</v>
      </c>
      <c r="N25" s="9">
        <v>77</v>
      </c>
      <c r="O25" s="29">
        <v>6</v>
      </c>
      <c r="P25" s="29">
        <v>0</v>
      </c>
      <c r="Q25" s="29"/>
      <c r="R25" s="29"/>
      <c r="S25" s="29"/>
      <c r="T25" s="29"/>
      <c r="U25" s="29"/>
      <c r="V25" s="29"/>
      <c r="W25" s="3">
        <v>413</v>
      </c>
      <c r="X25" s="9">
        <v>35</v>
      </c>
      <c r="Y25" s="9">
        <v>23</v>
      </c>
      <c r="Z25" s="9">
        <v>0</v>
      </c>
      <c r="AA25" s="29"/>
      <c r="AB25" s="29"/>
      <c r="AC25" s="29"/>
      <c r="AD25" s="29"/>
      <c r="AE25" s="29"/>
      <c r="AF25" s="29"/>
      <c r="AG25" s="29"/>
      <c r="AH25" s="29"/>
      <c r="AI25" s="29"/>
      <c r="AJ25" s="29"/>
    </row>
    <row r="26" spans="1:36" x14ac:dyDescent="0.25">
      <c r="A26" s="261"/>
      <c r="B26" s="6" t="s">
        <v>6</v>
      </c>
      <c r="C26" s="202">
        <v>22241688</v>
      </c>
      <c r="D26" s="10">
        <v>1571690</v>
      </c>
      <c r="E26" s="10">
        <v>7033</v>
      </c>
      <c r="F26" s="10">
        <v>2606</v>
      </c>
      <c r="G26" s="202">
        <v>2491</v>
      </c>
      <c r="H26" s="29">
        <v>2379</v>
      </c>
      <c r="I26" s="29">
        <v>112</v>
      </c>
      <c r="J26" s="29">
        <v>2332</v>
      </c>
      <c r="K26" s="29">
        <v>159</v>
      </c>
      <c r="L26" s="29"/>
      <c r="M26" s="10">
        <v>112</v>
      </c>
      <c r="N26" s="11">
        <v>21</v>
      </c>
      <c r="O26" s="29">
        <v>2</v>
      </c>
      <c r="P26" s="29">
        <v>0</v>
      </c>
      <c r="Q26" s="29"/>
      <c r="R26" s="29"/>
      <c r="S26" s="29"/>
      <c r="T26" s="29"/>
      <c r="U26" s="29"/>
      <c r="V26" s="29"/>
      <c r="W26" s="10">
        <v>224</v>
      </c>
      <c r="X26" s="11">
        <v>26</v>
      </c>
      <c r="Y26" s="11">
        <v>15</v>
      </c>
      <c r="Z26" s="11">
        <v>2</v>
      </c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spans="1:36" ht="15.75" thickBot="1" x14ac:dyDescent="0.3">
      <c r="A27" s="262"/>
      <c r="B27" s="15" t="s">
        <v>14</v>
      </c>
      <c r="C27" s="203">
        <v>81197537</v>
      </c>
      <c r="D27" s="16">
        <f t="shared" ref="D27:K27" si="2">SUM(D20:D26)</f>
        <v>8849736</v>
      </c>
      <c r="E27" s="16">
        <f t="shared" si="2"/>
        <v>70771</v>
      </c>
      <c r="F27" s="16">
        <f t="shared" si="2"/>
        <v>23978</v>
      </c>
      <c r="G27" s="203">
        <f t="shared" si="2"/>
        <v>22601</v>
      </c>
      <c r="H27" s="17">
        <f t="shared" si="2"/>
        <v>16870</v>
      </c>
      <c r="I27" s="17">
        <f t="shared" si="2"/>
        <v>5731</v>
      </c>
      <c r="J27" s="17">
        <f t="shared" si="2"/>
        <v>15984</v>
      </c>
      <c r="K27" s="17">
        <f t="shared" si="2"/>
        <v>6617</v>
      </c>
      <c r="L27" s="17"/>
      <c r="M27" s="16">
        <f>SUM(M20:M26)</f>
        <v>1561</v>
      </c>
      <c r="N27" s="17">
        <f>SUM(N20:N26)</f>
        <v>635</v>
      </c>
      <c r="O27" s="17">
        <f>SUM(O20:O26)</f>
        <v>15</v>
      </c>
      <c r="P27" s="17">
        <f>SUM(P20:P26)</f>
        <v>1</v>
      </c>
      <c r="Q27" s="17"/>
      <c r="R27" s="17"/>
      <c r="S27" s="17"/>
      <c r="T27" s="17"/>
      <c r="U27" s="17"/>
      <c r="V27" s="17"/>
      <c r="W27" s="16">
        <f>SUM(W20:W26)</f>
        <v>1167</v>
      </c>
      <c r="X27" s="17">
        <f>SUM(X20:X26)</f>
        <v>157</v>
      </c>
      <c r="Y27" s="17">
        <f>SUM(Y20:Y26)</f>
        <v>68</v>
      </c>
      <c r="Z27" s="17">
        <f>SUM(Z20:Z26)</f>
        <v>4</v>
      </c>
      <c r="AA27" s="17"/>
      <c r="AB27" s="17"/>
      <c r="AC27" s="17"/>
      <c r="AD27" s="17"/>
      <c r="AE27" s="17"/>
      <c r="AF27" s="17"/>
      <c r="AG27" s="9"/>
      <c r="AH27" s="9"/>
      <c r="AI27" s="9"/>
      <c r="AJ27" s="9"/>
    </row>
    <row r="28" spans="1:36" ht="16.5" thickTop="1" thickBot="1" x14ac:dyDescent="0.3">
      <c r="A28" s="259" t="s">
        <v>14</v>
      </c>
      <c r="B28" s="259"/>
      <c r="C28" s="93">
        <f t="shared" ref="C28:K28" si="3">C27+C19+C11</f>
        <v>242488746</v>
      </c>
      <c r="D28" s="93">
        <f t="shared" si="3"/>
        <v>25300543</v>
      </c>
      <c r="E28" s="93">
        <f t="shared" si="3"/>
        <v>295546</v>
      </c>
      <c r="F28" s="81">
        <f t="shared" si="3"/>
        <v>100000</v>
      </c>
      <c r="G28" s="93">
        <f t="shared" si="3"/>
        <v>95089</v>
      </c>
      <c r="H28" s="82">
        <f t="shared" si="3"/>
        <v>67685</v>
      </c>
      <c r="I28" s="82">
        <f t="shared" si="3"/>
        <v>27404</v>
      </c>
      <c r="J28" s="82">
        <f t="shared" si="3"/>
        <v>64298</v>
      </c>
      <c r="K28" s="82">
        <f t="shared" si="3"/>
        <v>30791</v>
      </c>
      <c r="L28" s="82"/>
      <c r="M28" s="81">
        <f>M27+M19+M11</f>
        <v>6462</v>
      </c>
      <c r="N28" s="82">
        <f>N27+N19+N11</f>
        <v>3332</v>
      </c>
      <c r="O28" s="82">
        <f>O27+O19+O11</f>
        <v>29</v>
      </c>
      <c r="P28" s="82">
        <f>P27+P19+P11</f>
        <v>11</v>
      </c>
      <c r="Q28" s="82"/>
      <c r="R28" s="82"/>
      <c r="S28" s="82"/>
      <c r="T28" s="82"/>
      <c r="U28" s="82"/>
      <c r="V28" s="82"/>
      <c r="W28" s="81">
        <f>W27+W19+W11</f>
        <v>4832</v>
      </c>
      <c r="X28" s="82">
        <f>X27+X19+X11</f>
        <v>765</v>
      </c>
      <c r="Y28" s="82">
        <f>Y27+Y19+Y11</f>
        <v>331</v>
      </c>
      <c r="Z28" s="82">
        <f>Z27+Z19+Z11</f>
        <v>42</v>
      </c>
      <c r="AA28" s="82"/>
      <c r="AB28" s="82"/>
      <c r="AC28" s="82"/>
      <c r="AD28" s="82"/>
      <c r="AE28" s="82"/>
      <c r="AF28" s="82"/>
      <c r="AG28" s="9"/>
      <c r="AH28" s="9"/>
      <c r="AI28" s="9"/>
      <c r="AJ28" s="9"/>
    </row>
    <row r="29" spans="1:36" x14ac:dyDescent="0.25">
      <c r="A29" s="257" t="s">
        <v>19</v>
      </c>
      <c r="B29" s="5" t="s">
        <v>0</v>
      </c>
      <c r="C29" s="98">
        <f t="shared" ref="C29" si="4">C4+C12+C20</f>
        <v>4120000</v>
      </c>
      <c r="D29" s="98">
        <f t="shared" ref="D29:K36" si="5">D4+D12+D20</f>
        <v>505975</v>
      </c>
      <c r="E29" s="98">
        <f t="shared" si="5"/>
        <v>10442</v>
      </c>
      <c r="F29" s="98">
        <f t="shared" si="5"/>
        <v>1935</v>
      </c>
      <c r="G29" s="201">
        <f t="shared" si="5"/>
        <v>1693</v>
      </c>
      <c r="H29" s="9">
        <f t="shared" si="5"/>
        <v>1</v>
      </c>
      <c r="I29" s="9">
        <f t="shared" si="5"/>
        <v>1692</v>
      </c>
      <c r="J29" s="1">
        <f t="shared" si="5"/>
        <v>1</v>
      </c>
      <c r="K29" s="1">
        <f t="shared" si="5"/>
        <v>1692</v>
      </c>
      <c r="L29" s="1"/>
      <c r="M29" s="3">
        <f t="shared" ref="M29:P36" si="6">M4+M12+M20</f>
        <v>487</v>
      </c>
      <c r="N29" s="9">
        <f t="shared" si="6"/>
        <v>243</v>
      </c>
      <c r="O29" s="1">
        <f t="shared" si="6"/>
        <v>4</v>
      </c>
      <c r="P29" s="1">
        <f t="shared" si="6"/>
        <v>0</v>
      </c>
      <c r="Q29" s="1"/>
      <c r="R29" s="1"/>
      <c r="S29" s="1"/>
      <c r="T29" s="1"/>
      <c r="U29" s="1"/>
      <c r="V29" s="1"/>
      <c r="W29" s="3">
        <f t="shared" ref="W29:Z36" si="7">W4+W12+W20</f>
        <v>213</v>
      </c>
      <c r="X29" s="9">
        <f t="shared" si="7"/>
        <v>43</v>
      </c>
      <c r="Y29" s="1">
        <f t="shared" si="7"/>
        <v>21</v>
      </c>
      <c r="Z29" s="1">
        <f t="shared" si="7"/>
        <v>5</v>
      </c>
      <c r="AA29" s="1"/>
      <c r="AB29" s="1"/>
      <c r="AC29" s="1"/>
      <c r="AD29" s="1"/>
      <c r="AE29" s="1"/>
      <c r="AF29" s="1"/>
      <c r="AG29" s="9"/>
      <c r="AH29" s="9"/>
      <c r="AI29" s="9"/>
      <c r="AJ29" s="9"/>
    </row>
    <row r="30" spans="1:36" x14ac:dyDescent="0.25">
      <c r="A30" s="257"/>
      <c r="B30" s="5" t="s">
        <v>1</v>
      </c>
      <c r="C30" s="3">
        <f t="shared" ref="C30" si="8">C5+C13+C21</f>
        <v>8248326</v>
      </c>
      <c r="D30" s="3">
        <f t="shared" si="5"/>
        <v>944576</v>
      </c>
      <c r="E30" s="3">
        <f t="shared" si="5"/>
        <v>21832</v>
      </c>
      <c r="F30" s="3">
        <f t="shared" si="5"/>
        <v>7755</v>
      </c>
      <c r="G30" s="201">
        <f t="shared" si="5"/>
        <v>6324</v>
      </c>
      <c r="H30" s="9">
        <f t="shared" si="5"/>
        <v>38</v>
      </c>
      <c r="I30" s="9">
        <f t="shared" si="5"/>
        <v>6286</v>
      </c>
      <c r="J30" s="1">
        <f t="shared" si="5"/>
        <v>39</v>
      </c>
      <c r="K30" s="1">
        <f t="shared" si="5"/>
        <v>6285</v>
      </c>
      <c r="L30" s="1"/>
      <c r="M30" s="3">
        <f t="shared" si="6"/>
        <v>2122</v>
      </c>
      <c r="N30" s="9">
        <f t="shared" si="6"/>
        <v>1485</v>
      </c>
      <c r="O30" s="1">
        <f t="shared" si="6"/>
        <v>4</v>
      </c>
      <c r="P30" s="1">
        <f t="shared" si="6"/>
        <v>3</v>
      </c>
      <c r="Q30" s="1"/>
      <c r="R30" s="1"/>
      <c r="S30" s="1"/>
      <c r="T30" s="1"/>
      <c r="U30" s="1"/>
      <c r="V30" s="1"/>
      <c r="W30" s="3">
        <f t="shared" si="7"/>
        <v>726</v>
      </c>
      <c r="X30" s="9">
        <f t="shared" si="7"/>
        <v>233</v>
      </c>
      <c r="Y30" s="1">
        <f t="shared" si="7"/>
        <v>76</v>
      </c>
      <c r="Z30" s="1">
        <f t="shared" si="7"/>
        <v>16</v>
      </c>
      <c r="AA30" s="1"/>
      <c r="AB30" s="1"/>
      <c r="AC30" s="1"/>
      <c r="AD30" s="1"/>
      <c r="AE30" s="1"/>
      <c r="AF30" s="1"/>
      <c r="AG30" s="9"/>
      <c r="AH30" s="9"/>
      <c r="AI30" s="9"/>
      <c r="AJ30" s="9"/>
    </row>
    <row r="31" spans="1:36" x14ac:dyDescent="0.25">
      <c r="A31" s="257"/>
      <c r="B31" s="5" t="s">
        <v>2</v>
      </c>
      <c r="C31" s="3">
        <f t="shared" ref="C31" si="9">C6+C14+C22</f>
        <v>8382166</v>
      </c>
      <c r="D31" s="3">
        <f t="shared" si="5"/>
        <v>926633</v>
      </c>
      <c r="E31" s="3">
        <f t="shared" si="5"/>
        <v>14930</v>
      </c>
      <c r="F31" s="3">
        <f t="shared" si="5"/>
        <v>5415</v>
      </c>
      <c r="G31" s="201">
        <f t="shared" si="5"/>
        <v>4860</v>
      </c>
      <c r="H31" s="9">
        <f t="shared" si="5"/>
        <v>39</v>
      </c>
      <c r="I31" s="9">
        <f t="shared" si="5"/>
        <v>4821</v>
      </c>
      <c r="J31" s="1">
        <f t="shared" si="5"/>
        <v>34</v>
      </c>
      <c r="K31" s="1">
        <f t="shared" si="5"/>
        <v>4826</v>
      </c>
      <c r="L31" s="1"/>
      <c r="M31" s="3">
        <f t="shared" si="6"/>
        <v>778</v>
      </c>
      <c r="N31" s="9">
        <f t="shared" si="6"/>
        <v>497</v>
      </c>
      <c r="O31" s="1">
        <f t="shared" si="6"/>
        <v>1</v>
      </c>
      <c r="P31" s="1">
        <f t="shared" si="6"/>
        <v>3</v>
      </c>
      <c r="Q31" s="1"/>
      <c r="R31" s="1"/>
      <c r="S31" s="1"/>
      <c r="T31" s="1"/>
      <c r="U31" s="1"/>
      <c r="V31" s="1"/>
      <c r="W31" s="3">
        <f t="shared" si="7"/>
        <v>324</v>
      </c>
      <c r="X31" s="9">
        <f t="shared" si="7"/>
        <v>77</v>
      </c>
      <c r="Y31" s="1">
        <f t="shared" si="7"/>
        <v>21</v>
      </c>
      <c r="Z31" s="1">
        <f t="shared" si="7"/>
        <v>4</v>
      </c>
      <c r="AA31" s="1"/>
      <c r="AB31" s="1"/>
      <c r="AC31" s="1"/>
      <c r="AD31" s="1"/>
      <c r="AE31" s="1"/>
      <c r="AF31" s="1"/>
      <c r="AG31" s="9"/>
      <c r="AH31" s="9"/>
      <c r="AI31" s="9"/>
      <c r="AJ31" s="9"/>
    </row>
    <row r="32" spans="1:36" ht="15" customHeight="1" x14ac:dyDescent="0.25">
      <c r="A32" s="257"/>
      <c r="B32" s="5" t="s">
        <v>3</v>
      </c>
      <c r="C32" s="3">
        <f t="shared" ref="C32" si="10">C7+C15+C23</f>
        <v>18527944</v>
      </c>
      <c r="D32" s="3">
        <f t="shared" si="5"/>
        <v>2190030</v>
      </c>
      <c r="E32" s="3">
        <f t="shared" si="5"/>
        <v>28073</v>
      </c>
      <c r="F32" s="3">
        <f t="shared" si="5"/>
        <v>9184</v>
      </c>
      <c r="G32" s="201">
        <f t="shared" si="5"/>
        <v>8405</v>
      </c>
      <c r="H32" s="9">
        <f t="shared" si="5"/>
        <v>458</v>
      </c>
      <c r="I32" s="9">
        <f t="shared" si="5"/>
        <v>7947</v>
      </c>
      <c r="J32" s="1">
        <f t="shared" si="5"/>
        <v>365</v>
      </c>
      <c r="K32" s="1">
        <f t="shared" si="5"/>
        <v>8040</v>
      </c>
      <c r="L32" s="1"/>
      <c r="M32" s="3">
        <f t="shared" si="6"/>
        <v>609</v>
      </c>
      <c r="N32" s="9">
        <f t="shared" si="6"/>
        <v>263</v>
      </c>
      <c r="O32" s="1">
        <f t="shared" si="6"/>
        <v>1</v>
      </c>
      <c r="P32" s="1">
        <f t="shared" si="6"/>
        <v>0</v>
      </c>
      <c r="Q32" s="1"/>
      <c r="R32" s="1"/>
      <c r="S32" s="1"/>
      <c r="T32" s="1"/>
      <c r="U32" s="1"/>
      <c r="V32" s="1"/>
      <c r="W32" s="3">
        <f t="shared" si="7"/>
        <v>385</v>
      </c>
      <c r="X32" s="9">
        <f t="shared" si="7"/>
        <v>47</v>
      </c>
      <c r="Y32" s="1">
        <f t="shared" si="7"/>
        <v>14</v>
      </c>
      <c r="Z32" s="1">
        <f t="shared" si="7"/>
        <v>0</v>
      </c>
      <c r="AA32" s="1"/>
      <c r="AB32" s="1"/>
      <c r="AC32" s="1"/>
      <c r="AD32" s="1"/>
      <c r="AE32" s="1"/>
      <c r="AF32" s="1"/>
      <c r="AG32" s="9"/>
      <c r="AH32" s="9"/>
      <c r="AI32" s="9"/>
      <c r="AJ32" s="9"/>
    </row>
    <row r="33" spans="1:36" x14ac:dyDescent="0.25">
      <c r="A33" s="257"/>
      <c r="B33" s="5" t="s">
        <v>4</v>
      </c>
      <c r="C33" s="3">
        <f t="shared" ref="C33" si="11">C8+C16+C24</f>
        <v>49004359</v>
      </c>
      <c r="D33" s="3">
        <f t="shared" si="5"/>
        <v>6278985</v>
      </c>
      <c r="E33" s="3">
        <f t="shared" si="5"/>
        <v>77619</v>
      </c>
      <c r="F33" s="3">
        <f t="shared" si="5"/>
        <v>25917</v>
      </c>
      <c r="G33" s="201">
        <f t="shared" si="5"/>
        <v>25059</v>
      </c>
      <c r="H33" s="9">
        <f t="shared" si="5"/>
        <v>21359</v>
      </c>
      <c r="I33" s="9">
        <f t="shared" si="5"/>
        <v>3700</v>
      </c>
      <c r="J33" s="1">
        <f t="shared" si="5"/>
        <v>19892</v>
      </c>
      <c r="K33" s="1">
        <f t="shared" si="5"/>
        <v>5167</v>
      </c>
      <c r="L33" s="1"/>
      <c r="M33" s="3">
        <f t="shared" si="6"/>
        <v>917</v>
      </c>
      <c r="N33" s="9">
        <f t="shared" si="6"/>
        <v>334</v>
      </c>
      <c r="O33" s="1">
        <f t="shared" si="6"/>
        <v>6</v>
      </c>
      <c r="P33" s="1">
        <f t="shared" si="6"/>
        <v>2</v>
      </c>
      <c r="Q33" s="1"/>
      <c r="R33" s="1"/>
      <c r="S33" s="1"/>
      <c r="T33" s="1"/>
      <c r="U33" s="1"/>
      <c r="V33" s="1"/>
      <c r="W33" s="3">
        <f t="shared" si="7"/>
        <v>658</v>
      </c>
      <c r="X33" s="9">
        <f t="shared" si="7"/>
        <v>69</v>
      </c>
      <c r="Y33" s="1">
        <f t="shared" si="7"/>
        <v>30</v>
      </c>
      <c r="Z33" s="1">
        <f t="shared" si="7"/>
        <v>4</v>
      </c>
      <c r="AA33" s="1"/>
      <c r="AB33" s="1"/>
      <c r="AC33" s="1"/>
      <c r="AD33" s="1"/>
      <c r="AE33" s="1"/>
      <c r="AF33" s="1"/>
      <c r="AG33" s="9"/>
      <c r="AH33" s="9"/>
      <c r="AI33" s="9"/>
      <c r="AJ33" s="9"/>
    </row>
    <row r="34" spans="1:36" x14ac:dyDescent="0.25">
      <c r="A34" s="257"/>
      <c r="B34" s="5" t="s">
        <v>5</v>
      </c>
      <c r="C34" s="3">
        <f t="shared" ref="C34" si="12">C9+C17+C25</f>
        <v>88311744</v>
      </c>
      <c r="D34" s="3">
        <f t="shared" si="5"/>
        <v>9993370</v>
      </c>
      <c r="E34" s="3">
        <f t="shared" si="5"/>
        <v>117143</v>
      </c>
      <c r="F34" s="3">
        <f t="shared" si="5"/>
        <v>40261</v>
      </c>
      <c r="G34" s="201">
        <f t="shared" si="5"/>
        <v>39531</v>
      </c>
      <c r="H34" s="9">
        <f t="shared" si="5"/>
        <v>37094</v>
      </c>
      <c r="I34" s="9">
        <f t="shared" si="5"/>
        <v>2437</v>
      </c>
      <c r="J34" s="1">
        <f t="shared" si="5"/>
        <v>35411</v>
      </c>
      <c r="K34" s="1">
        <f t="shared" si="5"/>
        <v>4120</v>
      </c>
      <c r="L34" s="1"/>
      <c r="M34" s="3">
        <f t="shared" si="6"/>
        <v>1215</v>
      </c>
      <c r="N34" s="9">
        <f t="shared" si="6"/>
        <v>430</v>
      </c>
      <c r="O34" s="1">
        <f t="shared" si="6"/>
        <v>11</v>
      </c>
      <c r="P34" s="1">
        <f t="shared" si="6"/>
        <v>3</v>
      </c>
      <c r="Q34" s="1"/>
      <c r="R34" s="1"/>
      <c r="S34" s="1"/>
      <c r="T34" s="1"/>
      <c r="U34" s="1"/>
      <c r="V34" s="1"/>
      <c r="W34" s="3">
        <f t="shared" si="7"/>
        <v>1712</v>
      </c>
      <c r="X34" s="9">
        <f t="shared" si="7"/>
        <v>220</v>
      </c>
      <c r="Y34" s="1">
        <f t="shared" si="7"/>
        <v>87</v>
      </c>
      <c r="Z34" s="1">
        <f t="shared" si="7"/>
        <v>5</v>
      </c>
      <c r="AA34" s="1"/>
      <c r="AB34" s="1"/>
      <c r="AC34" s="1"/>
      <c r="AD34" s="1"/>
      <c r="AE34" s="1"/>
      <c r="AF34" s="1"/>
      <c r="AG34" s="9"/>
      <c r="AH34" s="9"/>
      <c r="AI34" s="9"/>
      <c r="AJ34" s="9"/>
    </row>
    <row r="35" spans="1:36" x14ac:dyDescent="0.25">
      <c r="A35" s="257"/>
      <c r="B35" s="6" t="s">
        <v>6</v>
      </c>
      <c r="C35" s="10">
        <f t="shared" ref="C35" si="13">C10+C18+C26</f>
        <v>65894207</v>
      </c>
      <c r="D35" s="10">
        <f t="shared" si="5"/>
        <v>4460974</v>
      </c>
      <c r="E35" s="10">
        <f t="shared" si="5"/>
        <v>25507</v>
      </c>
      <c r="F35" s="10">
        <f t="shared" si="5"/>
        <v>9533</v>
      </c>
      <c r="G35" s="202">
        <f t="shared" si="5"/>
        <v>9217</v>
      </c>
      <c r="H35" s="11">
        <f t="shared" si="5"/>
        <v>8696</v>
      </c>
      <c r="I35" s="11">
        <f t="shared" si="5"/>
        <v>521</v>
      </c>
      <c r="J35" s="11">
        <f t="shared" si="5"/>
        <v>8556</v>
      </c>
      <c r="K35" s="11">
        <f t="shared" si="5"/>
        <v>661</v>
      </c>
      <c r="L35" s="11"/>
      <c r="M35" s="10">
        <f t="shared" si="6"/>
        <v>334</v>
      </c>
      <c r="N35" s="11">
        <f t="shared" si="6"/>
        <v>80</v>
      </c>
      <c r="O35" s="11">
        <f t="shared" si="6"/>
        <v>2</v>
      </c>
      <c r="P35" s="11">
        <f t="shared" si="6"/>
        <v>0</v>
      </c>
      <c r="Q35" s="11"/>
      <c r="R35" s="11"/>
      <c r="S35" s="11"/>
      <c r="T35" s="11"/>
      <c r="U35" s="11"/>
      <c r="V35" s="11"/>
      <c r="W35" s="10">
        <f t="shared" si="7"/>
        <v>814</v>
      </c>
      <c r="X35" s="11">
        <f t="shared" si="7"/>
        <v>76</v>
      </c>
      <c r="Y35" s="11">
        <f t="shared" si="7"/>
        <v>82</v>
      </c>
      <c r="Z35" s="11">
        <f t="shared" si="7"/>
        <v>8</v>
      </c>
      <c r="AA35" s="11"/>
      <c r="AB35" s="11"/>
      <c r="AC35" s="11"/>
      <c r="AD35" s="11"/>
      <c r="AE35" s="11"/>
      <c r="AF35" s="11"/>
      <c r="AG35" s="9"/>
      <c r="AH35" s="9"/>
      <c r="AI35" s="9"/>
      <c r="AJ35" s="9"/>
    </row>
    <row r="36" spans="1:36" ht="15.75" thickBot="1" x14ac:dyDescent="0.3">
      <c r="A36" s="258"/>
      <c r="B36" s="15" t="s">
        <v>14</v>
      </c>
      <c r="C36" s="31">
        <f t="shared" ref="C36" si="14">C11+C19+C27</f>
        <v>242488746</v>
      </c>
      <c r="D36" s="31">
        <f t="shared" si="5"/>
        <v>25300543</v>
      </c>
      <c r="E36" s="31">
        <f t="shared" si="5"/>
        <v>295546</v>
      </c>
      <c r="F36" s="31">
        <f t="shared" si="5"/>
        <v>100000</v>
      </c>
      <c r="G36" s="204">
        <f t="shared" si="5"/>
        <v>95089</v>
      </c>
      <c r="H36" s="22">
        <f t="shared" si="5"/>
        <v>67685</v>
      </c>
      <c r="I36" s="22">
        <f t="shared" si="5"/>
        <v>27404</v>
      </c>
      <c r="J36" s="22">
        <f t="shared" si="5"/>
        <v>64298</v>
      </c>
      <c r="K36" s="22">
        <f t="shared" si="5"/>
        <v>30791</v>
      </c>
      <c r="L36" s="22"/>
      <c r="M36" s="31">
        <f t="shared" si="6"/>
        <v>6462</v>
      </c>
      <c r="N36" s="22">
        <f t="shared" si="6"/>
        <v>3332</v>
      </c>
      <c r="O36" s="22">
        <f t="shared" si="6"/>
        <v>29</v>
      </c>
      <c r="P36" s="22">
        <f t="shared" si="6"/>
        <v>11</v>
      </c>
      <c r="Q36" s="22"/>
      <c r="R36" s="22"/>
      <c r="S36" s="22"/>
      <c r="T36" s="22"/>
      <c r="U36" s="22"/>
      <c r="V36" s="22"/>
      <c r="W36" s="31">
        <f t="shared" si="7"/>
        <v>4832</v>
      </c>
      <c r="X36" s="22">
        <f t="shared" si="7"/>
        <v>765</v>
      </c>
      <c r="Y36" s="22">
        <f t="shared" si="7"/>
        <v>331</v>
      </c>
      <c r="Z36" s="22">
        <f t="shared" si="7"/>
        <v>42</v>
      </c>
      <c r="AA36" s="22"/>
      <c r="AB36" s="22"/>
      <c r="AC36" s="22"/>
      <c r="AD36" s="22"/>
      <c r="AE36" s="22"/>
      <c r="AF36" s="22"/>
      <c r="AG36" s="9"/>
      <c r="AH36" s="9"/>
      <c r="AI36" s="9"/>
      <c r="AJ36" s="9"/>
    </row>
    <row r="37" spans="1:36" ht="15.75" thickTop="1" x14ac:dyDescent="0.25">
      <c r="D37" s="245">
        <f>D11/C11</f>
        <v>9.9829036766372004E-2</v>
      </c>
      <c r="Y37" s="21"/>
      <c r="AA37" s="21"/>
    </row>
    <row r="38" spans="1:36" x14ac:dyDescent="0.25">
      <c r="D38" s="245">
        <f>D19/C19</f>
        <v>0.10415331480697865</v>
      </c>
      <c r="Q38" s="5"/>
    </row>
    <row r="39" spans="1:36" x14ac:dyDescent="0.25">
      <c r="D39" s="245">
        <f>D27/C27</f>
        <v>0.10899020249838366</v>
      </c>
    </row>
    <row r="40" spans="1:36" x14ac:dyDescent="0.25">
      <c r="A40" s="5"/>
      <c r="B40" s="5"/>
      <c r="C40" s="4"/>
      <c r="D40" s="2"/>
      <c r="E40" s="4"/>
      <c r="F40" s="2"/>
      <c r="G40" s="4"/>
      <c r="H40" s="255" t="s">
        <v>24</v>
      </c>
      <c r="I40" s="255"/>
      <c r="J40" s="256" t="s">
        <v>25</v>
      </c>
      <c r="K40" s="256"/>
      <c r="L40" s="115"/>
      <c r="M40" s="264" t="s">
        <v>20</v>
      </c>
      <c r="N40" s="255"/>
      <c r="O40" s="255"/>
      <c r="P40" s="255"/>
      <c r="Q40" s="265"/>
      <c r="R40" s="255" t="s">
        <v>17</v>
      </c>
      <c r="S40" s="255"/>
      <c r="T40" s="255"/>
      <c r="U40" s="255"/>
      <c r="V40" s="265"/>
      <c r="W40" s="264" t="s">
        <v>21</v>
      </c>
      <c r="X40" s="255"/>
      <c r="Y40" s="255"/>
      <c r="Z40" s="255"/>
      <c r="AA40" s="265"/>
      <c r="AB40" s="42" t="s">
        <v>18</v>
      </c>
      <c r="AC40" s="42"/>
      <c r="AD40" s="42"/>
    </row>
    <row r="41" spans="1:36" x14ac:dyDescent="0.25">
      <c r="A41" s="6" t="s">
        <v>7</v>
      </c>
      <c r="B41" s="6" t="s">
        <v>8</v>
      </c>
      <c r="C41" s="7"/>
      <c r="D41" s="8" t="s">
        <v>9</v>
      </c>
      <c r="E41" s="7" t="s">
        <v>11</v>
      </c>
      <c r="F41" s="8" t="s">
        <v>10</v>
      </c>
      <c r="G41" s="7" t="s">
        <v>15</v>
      </c>
      <c r="H41" s="6" t="s">
        <v>50</v>
      </c>
      <c r="I41" s="6" t="s">
        <v>51</v>
      </c>
      <c r="J41" s="6" t="s">
        <v>50</v>
      </c>
      <c r="K41" s="6" t="s">
        <v>51</v>
      </c>
      <c r="L41" s="6"/>
      <c r="M41" s="8" t="s">
        <v>13</v>
      </c>
      <c r="N41" s="6" t="s">
        <v>12</v>
      </c>
      <c r="O41" s="139" t="s">
        <v>16</v>
      </c>
      <c r="P41" s="6" t="s">
        <v>45</v>
      </c>
      <c r="Q41" s="53" t="s">
        <v>46</v>
      </c>
      <c r="R41" s="6" t="s">
        <v>13</v>
      </c>
      <c r="S41" s="6" t="s">
        <v>12</v>
      </c>
      <c r="T41" s="139" t="s">
        <v>16</v>
      </c>
      <c r="U41" s="6" t="s">
        <v>45</v>
      </c>
      <c r="V41" s="6" t="s">
        <v>46</v>
      </c>
      <c r="W41" s="8" t="s">
        <v>13</v>
      </c>
      <c r="X41" s="6" t="s">
        <v>12</v>
      </c>
      <c r="Y41" s="139" t="s">
        <v>16</v>
      </c>
      <c r="Z41" s="6" t="s">
        <v>45</v>
      </c>
      <c r="AA41" s="53" t="s">
        <v>46</v>
      </c>
      <c r="AB41" s="6" t="s">
        <v>13</v>
      </c>
      <c r="AC41" s="6" t="s">
        <v>12</v>
      </c>
      <c r="AD41" s="139" t="s">
        <v>16</v>
      </c>
      <c r="AE41" s="6" t="s">
        <v>45</v>
      </c>
      <c r="AF41" s="6" t="s">
        <v>46</v>
      </c>
    </row>
    <row r="42" spans="1:36" x14ac:dyDescent="0.25">
      <c r="A42" s="260">
        <v>2012</v>
      </c>
      <c r="B42" s="12" t="s">
        <v>0</v>
      </c>
      <c r="C42" s="4"/>
      <c r="D42" s="133">
        <f>IncidenceComplications!D4/IncidenceComplications!C4</f>
        <v>0.11642376585421176</v>
      </c>
      <c r="E42" s="133">
        <f>IncidenceComplications!E4/IncidenceComplications!D4</f>
        <v>1.8008433843038234E-2</v>
      </c>
      <c r="F42" s="131">
        <f>IncidenceComplications!F4/IncidenceComplications!E4</f>
        <v>0.199288256227758</v>
      </c>
      <c r="G42" s="133">
        <f>IncidenceComplications!G4/IncidenceComplications!F4</f>
        <v>0.85</v>
      </c>
      <c r="H42" s="210">
        <f>H4/G4</f>
        <v>0</v>
      </c>
      <c r="I42" s="132">
        <f>I4/G4</f>
        <v>1</v>
      </c>
      <c r="J42" s="132">
        <f>J4/G4</f>
        <v>0</v>
      </c>
      <c r="K42" s="132">
        <f>K4/G4</f>
        <v>1</v>
      </c>
      <c r="L42" s="29"/>
      <c r="M42" s="131">
        <f>IncidenceComplications!M4/IncidenceComplications!$G4</f>
        <v>0.27731092436974791</v>
      </c>
      <c r="N42" s="18">
        <f>IncidenceComplications!N4/IncidenceComplications!$G4</f>
        <v>0.12394957983193278</v>
      </c>
      <c r="O42" s="140">
        <f>M42-N42</f>
        <v>0.15336134453781514</v>
      </c>
      <c r="P42" s="23">
        <f>O42^2/((M42+N42/2)*(1-(M42+N42/2))*(1/G4+1/G4))</f>
        <v>24.97063007279726</v>
      </c>
      <c r="Q42" s="26">
        <f>_xlfn.CHISQ.DIST.RT(P42,1)</f>
        <v>5.8210314087673444E-7</v>
      </c>
      <c r="R42" s="131">
        <f>IncidenceComplications!O4/IncidenceComplications!M4</f>
        <v>0</v>
      </c>
      <c r="S42" s="18">
        <f>IncidenceComplications!P4/IncidenceComplications!N4</f>
        <v>0</v>
      </c>
      <c r="T42" s="140">
        <f t="shared" ref="T42:T74" si="15">R42-S42</f>
        <v>0</v>
      </c>
      <c r="U42" s="23" t="e">
        <f>ABS(T42)/SQRT(ABS(T42)*(1-ABS(T42))*(1/IncidenceComplications!M4+1/IncidenceComplications!N4))</f>
        <v>#DIV/0!</v>
      </c>
      <c r="V42" s="23" t="e">
        <f>_xlfn.NORM.S.DIST(U42,FALSE)</f>
        <v>#DIV/0!</v>
      </c>
      <c r="W42" s="32">
        <f>IncidenceComplications!W4/IncidenceComplications!$G4</f>
        <v>0.12815126050420167</v>
      </c>
      <c r="X42" s="18">
        <f>IncidenceComplications!X4/IncidenceComplications!$G4</f>
        <v>1.4705882352941176E-2</v>
      </c>
      <c r="Y42" s="140">
        <f t="shared" ref="Y42:Y74" si="16">W42-X42</f>
        <v>0.11344537815126049</v>
      </c>
      <c r="Z42" s="23">
        <f>ABS(Y42)/SQRT(ABS(Y42)*(1-ABS(Y42))*(1/IncidenceComplications!G4+1/IncidenceComplications!G4))</f>
        <v>5.5186027491854794</v>
      </c>
      <c r="AA42" s="23">
        <f t="shared" ref="AA42:AA74" si="17">_xlfn.NORM.S.DIST(Z42,FALSE)</f>
        <v>9.7206652655584774E-8</v>
      </c>
      <c r="AB42" s="18">
        <f>IncidenceComplications!Y4/IncidenceComplications!$W4</f>
        <v>8.1967213114754092E-2</v>
      </c>
      <c r="AC42" s="18">
        <f>IncidenceComplications!Z4/IncidenceComplications!$X4</f>
        <v>0</v>
      </c>
      <c r="AD42" s="140">
        <f t="shared" ref="AD42:AD74" si="18">AB42-AC42</f>
        <v>8.1967213114754092E-2</v>
      </c>
      <c r="AE42" s="23">
        <f>ABS(AD42)/SQRT(ABS(AD42)*(1-ABS(AD42))*(1/IncidenceComplications!W4+1/IncidenceComplications!X4))</f>
        <v>0.74877350694711575</v>
      </c>
      <c r="AF42" s="26">
        <f t="shared" ref="AF42:AF74" si="19">_xlfn.NORM.S.DIST(AE42,FALSE)</f>
        <v>0.30141434011889229</v>
      </c>
    </row>
    <row r="43" spans="1:36" x14ac:dyDescent="0.25">
      <c r="A43" s="261"/>
      <c r="B43" s="5" t="s">
        <v>1</v>
      </c>
      <c r="C43" s="4"/>
      <c r="D43" s="133">
        <f>IncidenceComplications!D5/IncidenceComplications!C5</f>
        <v>0.10714616148436641</v>
      </c>
      <c r="E43" s="133">
        <f>IncidenceComplications!E5/IncidenceComplications!D5</f>
        <v>1.8147265501497541E-2</v>
      </c>
      <c r="F43" s="32">
        <f>IncidenceComplications!F5/IncidenceComplications!E5</f>
        <v>0.36436867740726864</v>
      </c>
      <c r="G43" s="133">
        <f>IncidenceComplications!G5/IncidenceComplications!F5</f>
        <v>0.78868894601542416</v>
      </c>
      <c r="H43" s="132">
        <f>H5/G5</f>
        <v>7.1707953063885263E-3</v>
      </c>
      <c r="I43" s="132">
        <f>I5/G5</f>
        <v>0.99282920469361147</v>
      </c>
      <c r="J43" s="132">
        <f>J5/G5</f>
        <v>5.2151238591916557E-3</v>
      </c>
      <c r="K43" s="132">
        <f>K5/G5</f>
        <v>0.99478487614080835</v>
      </c>
      <c r="L43" s="29"/>
      <c r="M43" s="32">
        <f>IncidenceComplications!M5/IncidenceComplications!$G5</f>
        <v>0.32203389830508472</v>
      </c>
      <c r="N43" s="18">
        <f>IncidenceComplications!N5/IncidenceComplications!$G5</f>
        <v>0.21447196870925683</v>
      </c>
      <c r="O43" s="140">
        <f t="shared" ref="O43:O74" si="20">M43-N43</f>
        <v>0.10756192959582789</v>
      </c>
      <c r="P43" s="23">
        <f>O43^2/((M43+N43/2)*(1-(M43+N43/2))*(1/IncidenceComplications!G5+1/IncidenceComplications!G5))</f>
        <v>36.220239914972105</v>
      </c>
      <c r="Q43" s="26">
        <f>_xlfn.CHISQ.DIST.RT(P43,1)</f>
        <v>1.7623072408580768E-9</v>
      </c>
      <c r="R43" s="32">
        <f>IncidenceComplications!O5/IncidenceComplications!M5</f>
        <v>2.0242914979757085E-3</v>
      </c>
      <c r="S43" s="18">
        <f>IncidenceComplications!P5/IncidenceComplications!N5</f>
        <v>3.0395136778115501E-3</v>
      </c>
      <c r="T43" s="140">
        <f t="shared" si="15"/>
        <v>-1.0152221798358416E-3</v>
      </c>
      <c r="U43" s="23">
        <f>ABS(T43)/SQRT(ABS(T43)*(1-ABS(T43))*(1/IncidenceComplications!M5+1/IncidenceComplications!N5))</f>
        <v>0.44798411962780665</v>
      </c>
      <c r="V43" s="23">
        <f>_xlfn.NORM.S.DIST(U43,FALSE)</f>
        <v>0.36085342828608352</v>
      </c>
      <c r="W43" s="32">
        <f>IncidenceComplications!W5/IncidenceComplications!$G5</f>
        <v>0.10299869621903521</v>
      </c>
      <c r="X43" s="18">
        <f>IncidenceComplications!X5/IncidenceComplications!$G5</f>
        <v>3.9765319426336376E-2</v>
      </c>
      <c r="Y43" s="140">
        <f t="shared" si="16"/>
        <v>6.3233376792698831E-2</v>
      </c>
      <c r="Z43" s="23">
        <f>ABS(Y43)/SQRT(ABS(Y43)*(1-ABS(Y43))*(1/IncidenceComplications!G5+1/IncidenceComplications!G5))</f>
        <v>7.1954036979987901</v>
      </c>
      <c r="AA43" s="23">
        <f t="shared" si="17"/>
        <v>2.2822582062405751E-12</v>
      </c>
      <c r="AB43" s="18">
        <f>IncidenceComplications!Y5/IncidenceComplications!$W5</f>
        <v>0.10126582278481013</v>
      </c>
      <c r="AC43" s="18">
        <f>IncidenceComplications!Z5/IncidenceComplications!$X5</f>
        <v>9.8360655737704916E-2</v>
      </c>
      <c r="AD43" s="140">
        <f t="shared" si="18"/>
        <v>2.9051670471052088E-3</v>
      </c>
      <c r="AE43" s="23">
        <f>ABS(AD43)/SQRT(ABS(AD43)*(1-ABS(AD43))*(1/IncidenceComplications!W5+1/IncidenceComplications!X5))</f>
        <v>0.35808714077934323</v>
      </c>
      <c r="AF43" s="26">
        <f t="shared" si="19"/>
        <v>0.37416749530958221</v>
      </c>
    </row>
    <row r="44" spans="1:36" x14ac:dyDescent="0.25">
      <c r="A44" s="261"/>
      <c r="B44" s="5" t="s">
        <v>2</v>
      </c>
      <c r="C44" s="4"/>
      <c r="D44" s="133">
        <f>IncidenceComplications!D6/IncidenceComplications!C6</f>
        <v>0.10870474071938691</v>
      </c>
      <c r="E44" s="133">
        <f>IncidenceComplications!E6/IncidenceComplications!D6</f>
        <v>1.1208011188220703E-2</v>
      </c>
      <c r="F44" s="32">
        <f>IncidenceComplications!F6/IncidenceComplications!E6</f>
        <v>0.36374337845791643</v>
      </c>
      <c r="G44" s="133">
        <f>IncidenceComplications!G6/IncidenceComplications!F6</f>
        <v>0.89158576051779936</v>
      </c>
      <c r="H44" s="128">
        <f t="shared" ref="H44:H74" si="21">H6/G6</f>
        <v>2.7223230490018148E-3</v>
      </c>
      <c r="I44" s="132">
        <f t="shared" ref="I44:I50" si="22">I6/G6</f>
        <v>0.99727767695099823</v>
      </c>
      <c r="J44" s="18">
        <f t="shared" ref="J44:J50" si="23">J6/G6</f>
        <v>4.5372050816696917E-3</v>
      </c>
      <c r="K44" s="18">
        <f t="shared" ref="K44:K50" si="24">K6/G6</f>
        <v>0.99546279491833034</v>
      </c>
      <c r="L44" s="115"/>
      <c r="M44" s="32">
        <f>IncidenceComplications!M6/IncidenceComplications!$G6</f>
        <v>0.15245009074410162</v>
      </c>
      <c r="N44" s="18">
        <f>IncidenceComplications!N6/IncidenceComplications!$G6</f>
        <v>0.10435571687840291</v>
      </c>
      <c r="O44" s="140">
        <f t="shared" si="20"/>
        <v>4.8094373865698717E-2</v>
      </c>
      <c r="P44" s="23">
        <f>O44^2/((M44+N44/2)*(1-(M44+N44/2))*(1/IncidenceComplications!G6+1/IncidenceComplications!G6))</f>
        <v>7.8307772674781102</v>
      </c>
      <c r="Q44" s="26">
        <f>_xlfn.CHISQ.DIST.RT(P44,1)</f>
        <v>5.1364007392865688E-3</v>
      </c>
      <c r="R44" s="32">
        <f>IncidenceComplications!O6/IncidenceComplications!M6</f>
        <v>0</v>
      </c>
      <c r="S44" s="18">
        <f>IncidenceComplications!P6/IncidenceComplications!N6</f>
        <v>1.7391304347826087E-2</v>
      </c>
      <c r="T44" s="140">
        <f t="shared" si="15"/>
        <v>-1.7391304347826087E-2</v>
      </c>
      <c r="U44" s="23">
        <f>ABS(T44)/SQRT(ABS(T44)*(1-ABS(T44))*(1/IncidenceComplications!M6+1/IncidenceComplications!N6))</f>
        <v>1.0992237907920968</v>
      </c>
      <c r="V44" s="23" t="e">
        <f>_xlfn.NORM.S.DIST(U44,KU)</f>
        <v>#NAME?</v>
      </c>
      <c r="W44" s="32">
        <f>IncidenceComplications!W6/IncidenceComplications!$G6</f>
        <v>8.2577132486388385E-2</v>
      </c>
      <c r="X44" s="18">
        <f>IncidenceComplications!X6/IncidenceComplications!$G6</f>
        <v>1.9056261343012703E-2</v>
      </c>
      <c r="Y44" s="140">
        <f t="shared" si="16"/>
        <v>6.3520871143375679E-2</v>
      </c>
      <c r="Z44" s="23">
        <f>ABS(Y44)/SQRT(ABS(Y44)*(1-ABS(Y44))*(1/IncidenceComplications!G6+1/IncidenceComplications!G6))</f>
        <v>6.1134303797256031</v>
      </c>
      <c r="AA44" s="23">
        <f t="shared" si="17"/>
        <v>3.0566263258577769E-9</v>
      </c>
      <c r="AB44" s="18">
        <f>IncidenceComplications!Y6/IncidenceComplications!$W6</f>
        <v>8.7912087912087919E-2</v>
      </c>
      <c r="AC44" s="18">
        <f>IncidenceComplications!Z6/IncidenceComplications!$X6</f>
        <v>4.7619047619047616E-2</v>
      </c>
      <c r="AD44" s="140">
        <f t="shared" si="18"/>
        <v>4.0293040293040303E-2</v>
      </c>
      <c r="AE44" s="23">
        <f>ABS(AD44)/SQRT(ABS(AD44)*(1-ABS(AD44))*(1/IncidenceComplications!W6+1/IncidenceComplications!X6))</f>
        <v>0.84638318970593585</v>
      </c>
      <c r="AF44" s="26">
        <f t="shared" si="19"/>
        <v>0.27883898314232652</v>
      </c>
    </row>
    <row r="45" spans="1:36" x14ac:dyDescent="0.25">
      <c r="A45" s="261"/>
      <c r="B45" s="5" t="s">
        <v>3</v>
      </c>
      <c r="C45" s="4"/>
      <c r="D45" s="133">
        <f>IncidenceComplications!D7/IncidenceComplications!C7</f>
        <v>0.1151079993102046</v>
      </c>
      <c r="E45" s="133">
        <f>IncidenceComplications!E7/IncidenceComplications!D7</f>
        <v>9.9364125497868779E-3</v>
      </c>
      <c r="F45" s="32">
        <f>IncidenceComplications!F7/IncidenceComplications!E7</f>
        <v>0.32053445850914203</v>
      </c>
      <c r="G45" s="133">
        <f>IncidenceComplications!G7/IncidenceComplications!F7</f>
        <v>0.89161913119789382</v>
      </c>
      <c r="H45" s="132">
        <f t="shared" si="21"/>
        <v>5.7086614173228349E-2</v>
      </c>
      <c r="I45" s="132">
        <f t="shared" si="22"/>
        <v>0.94291338582677164</v>
      </c>
      <c r="J45" s="132">
        <f t="shared" si="23"/>
        <v>4.2322834645669292E-2</v>
      </c>
      <c r="K45" s="132">
        <f t="shared" si="24"/>
        <v>0.95767716535433067</v>
      </c>
      <c r="L45" s="29"/>
      <c r="M45" s="32">
        <f>IncidenceComplications!M7/IncidenceComplications!$G7</f>
        <v>7.5787401574803154E-2</v>
      </c>
      <c r="N45" s="18">
        <f>IncidenceComplications!N7/IncidenceComplications!$G7</f>
        <v>2.9035433070866142E-2</v>
      </c>
      <c r="O45" s="140">
        <f t="shared" si="20"/>
        <v>4.6751968503937008E-2</v>
      </c>
      <c r="P45" s="23">
        <f>O45^2/((M45+N45/2)*(1-(M45+N45/2))*(1/IncidenceComplications!G7+1/IncidenceComplications!G7))</f>
        <v>27.032449168963126</v>
      </c>
      <c r="Q45" s="26">
        <f>_xlfn.CHISQ.DIST.RT(P45,1)</f>
        <v>2.0006851896877542E-7</v>
      </c>
      <c r="R45" s="32">
        <f>IncidenceComplications!O7/IncidenceComplications!M7</f>
        <v>0</v>
      </c>
      <c r="S45" s="18">
        <f>IncidenceComplications!P7/IncidenceComplications!N7</f>
        <v>0</v>
      </c>
      <c r="T45" s="140">
        <f t="shared" si="15"/>
        <v>0</v>
      </c>
      <c r="U45" s="23" t="e">
        <f>ABS(T45)/SQRT(ABS(T45)*(1-ABS(T45))*(1/IncidenceComplications!M7+1/IncidenceComplications!N7))</f>
        <v>#DIV/0!</v>
      </c>
      <c r="V45" s="23" t="e">
        <f t="shared" ref="V45:V74" si="25">_xlfn.NORM.S.DIST(U45,FALSE)</f>
        <v>#DIV/0!</v>
      </c>
      <c r="W45" s="32">
        <f>IncidenceComplications!W7/IncidenceComplications!$G7</f>
        <v>5.905511811023622E-2</v>
      </c>
      <c r="X45" s="18">
        <f>IncidenceComplications!X7/IncidenceComplications!$G7</f>
        <v>7.874015748031496E-3</v>
      </c>
      <c r="Y45" s="140">
        <f t="shared" si="16"/>
        <v>5.1181102362204724E-2</v>
      </c>
      <c r="Z45" s="23">
        <f>ABS(Y45)/SQRT(ABS(Y45)*(1-ABS(Y45))*(1/IncidenceComplications!G7+1/IncidenceComplications!G7))</f>
        <v>7.4030385149012989</v>
      </c>
      <c r="AA45" s="23">
        <f t="shared" si="17"/>
        <v>5.0137194716689169E-13</v>
      </c>
      <c r="AB45" s="18">
        <f>IncidenceComplications!Y7/IncidenceComplications!$W7</f>
        <v>0.05</v>
      </c>
      <c r="AC45" s="18">
        <f>IncidenceComplications!Z7/IncidenceComplications!$X7</f>
        <v>0</v>
      </c>
      <c r="AD45" s="140">
        <f t="shared" si="18"/>
        <v>0.05</v>
      </c>
      <c r="AE45" s="23">
        <f>ABS(AD45)/SQRT(ABS(AD45)*(1-ABS(AD45))*(1/IncidenceComplications!W7+1/IncidenceComplications!X7))</f>
        <v>0.86199423184123125</v>
      </c>
      <c r="AF45" s="26">
        <f t="shared" si="19"/>
        <v>0.27514540899764089</v>
      </c>
    </row>
    <row r="46" spans="1:36" x14ac:dyDescent="0.25">
      <c r="A46" s="261"/>
      <c r="B46" s="5" t="s">
        <v>4</v>
      </c>
      <c r="C46" s="4"/>
      <c r="D46" s="133">
        <f>IncidenceComplications!D8/IncidenceComplications!C8</f>
        <v>0.12120848084546371</v>
      </c>
      <c r="E46" s="133">
        <f>IncidenceComplications!E8/IncidenceComplications!D8</f>
        <v>1.045735414294599E-2</v>
      </c>
      <c r="F46" s="32">
        <f>IncidenceComplications!F8/IncidenceComplications!E8</f>
        <v>0.33519743240614669</v>
      </c>
      <c r="G46" s="133">
        <f>IncidenceComplications!G8/IncidenceComplications!F8</f>
        <v>0.95763818366458731</v>
      </c>
      <c r="H46" s="132">
        <f t="shared" si="21"/>
        <v>0.84532646568701708</v>
      </c>
      <c r="I46" s="132">
        <f t="shared" si="22"/>
        <v>0.15467353431298289</v>
      </c>
      <c r="J46" s="132">
        <f t="shared" si="23"/>
        <v>0.79003181336161188</v>
      </c>
      <c r="K46" s="132">
        <f t="shared" si="24"/>
        <v>0.20996818663838812</v>
      </c>
      <c r="L46" s="29"/>
      <c r="M46" s="32">
        <f>IncidenceComplications!M8/IncidenceComplications!$G8</f>
        <v>3.6206635358279046E-2</v>
      </c>
      <c r="N46" s="18">
        <f>IncidenceComplications!N8/IncidenceComplications!$G8</f>
        <v>1.3785790031813362E-2</v>
      </c>
      <c r="O46" s="140">
        <f t="shared" si="20"/>
        <v>2.2420845326465683E-2</v>
      </c>
      <c r="P46" s="23">
        <f>O46^2/((M46+N46/2)*(1-(M46+N46/2))*(1/IncidenceComplications!G8+1/IncidenceComplications!G8))</f>
        <v>40.22947793300024</v>
      </c>
      <c r="Q46" s="26">
        <f>_xlfn.CHISQ.DIST.RT(P46,1)</f>
        <v>2.2581504680688594E-10</v>
      </c>
      <c r="R46" s="32">
        <f>IncidenceComplications!O8/IncidenceComplications!M8</f>
        <v>4.1841004184100415E-3</v>
      </c>
      <c r="S46" s="18">
        <f>IncidenceComplications!P8/IncidenceComplications!N8</f>
        <v>1.098901098901099E-2</v>
      </c>
      <c r="T46" s="140">
        <f t="shared" si="15"/>
        <v>-6.8049105706009484E-3</v>
      </c>
      <c r="U46" s="23">
        <f>ABS(T46)/SQRT(ABS(T46)*(1-ABS(T46))*(1/IncidenceComplications!M8+1/IncidenceComplications!N8))</f>
        <v>0.67198039998557157</v>
      </c>
      <c r="V46" s="23">
        <f t="shared" si="25"/>
        <v>0.31831387261428801</v>
      </c>
      <c r="W46" s="32">
        <f>IncidenceComplications!W8/IncidenceComplications!$G8</f>
        <v>3.1661869413725195E-2</v>
      </c>
      <c r="X46" s="18">
        <f>IncidenceComplications!X8/IncidenceComplications!$G8</f>
        <v>1.8179063778215423E-3</v>
      </c>
      <c r="Y46" s="140">
        <f t="shared" si="16"/>
        <v>2.9843963035903653E-2</v>
      </c>
      <c r="Z46" s="23">
        <f>ABS(Y46)/SQRT(ABS(Y46)*(1-ABS(Y46))*(1/IncidenceComplications!G8+1/IncidenceComplications!G8))</f>
        <v>10.076212549262436</v>
      </c>
      <c r="AA46" s="23">
        <f t="shared" si="17"/>
        <v>3.5804515963948776E-23</v>
      </c>
      <c r="AB46" s="18">
        <f>IncidenceComplications!Y8/IncidenceComplications!$W8</f>
        <v>6.2200956937799042E-2</v>
      </c>
      <c r="AC46" s="18">
        <f>IncidenceComplications!Z8/IncidenceComplications!$X8</f>
        <v>0</v>
      </c>
      <c r="AD46" s="140">
        <f t="shared" si="18"/>
        <v>6.2200956937799042E-2</v>
      </c>
      <c r="AE46" s="23">
        <f>ABS(AD46)/SQRT(ABS(AD46)*(1-ABS(AD46))*(1/IncidenceComplications!W8+1/IncidenceComplications!X8))</f>
        <v>0.86758347173754591</v>
      </c>
      <c r="AF46" s="26">
        <f t="shared" si="19"/>
        <v>0.27381869918168622</v>
      </c>
    </row>
    <row r="47" spans="1:36" x14ac:dyDescent="0.25">
      <c r="A47" s="261"/>
      <c r="B47" s="5" t="s">
        <v>5</v>
      </c>
      <c r="C47" s="4"/>
      <c r="D47" s="133">
        <f>IncidenceComplications!D9/IncidenceComplications!C9</f>
        <v>0.10844174439292614</v>
      </c>
      <c r="E47" s="133">
        <f>IncidenceComplications!E9/IncidenceComplications!D9</f>
        <v>8.8226368082232921E-3</v>
      </c>
      <c r="F47" s="32">
        <f>IncidenceComplications!F9/IncidenceComplications!E9</f>
        <v>0.34451608332152472</v>
      </c>
      <c r="G47" s="133">
        <f>IncidenceComplications!G9/IncidenceComplications!F9</f>
        <v>0.97460154241645247</v>
      </c>
      <c r="H47" s="132">
        <f t="shared" si="21"/>
        <v>0.93226419075754374</v>
      </c>
      <c r="I47" s="132">
        <f t="shared" si="22"/>
        <v>6.7735809242456216E-2</v>
      </c>
      <c r="J47" s="132">
        <f t="shared" si="23"/>
        <v>0.88700147710487443</v>
      </c>
      <c r="K47" s="132">
        <f t="shared" si="24"/>
        <v>0.11299852289512555</v>
      </c>
      <c r="L47" s="29"/>
      <c r="M47" s="32">
        <f>IncidenceComplications!M9/IncidenceComplications!$G9</f>
        <v>3.1546739818527118E-2</v>
      </c>
      <c r="N47" s="18">
        <f>IncidenceComplications!N9/IncidenceComplications!$G9</f>
        <v>1.1078286558345642E-2</v>
      </c>
      <c r="O47" s="140">
        <f t="shared" si="20"/>
        <v>2.0468453260181478E-2</v>
      </c>
      <c r="P47" s="23">
        <f>O47^2/((M47+N47/2)*(1-(M47+N47/2))*(1/IncidenceComplications!G9+1/IncidenceComplications!G9))</f>
        <v>55.598180746842708</v>
      </c>
      <c r="Q47" s="26">
        <f t="shared" ref="Q47:Q74" si="26">_xlfn.NORM.S.DIST(P47,FALSE)</f>
        <v>0</v>
      </c>
      <c r="R47" s="32">
        <f>IncidenceComplications!O9/IncidenceComplications!M9</f>
        <v>3.3444816053511705E-3</v>
      </c>
      <c r="S47" s="18">
        <f>IncidenceComplications!P9/IncidenceComplications!N9</f>
        <v>0</v>
      </c>
      <c r="T47" s="140">
        <f t="shared" si="15"/>
        <v>3.3444816053511705E-3</v>
      </c>
      <c r="U47" s="23">
        <f>ABS(T47)/SQRT(ABS(T47)*(1-ABS(T47))*(1/IncidenceComplications!M9+1/IncidenceComplications!N9))</f>
        <v>0.51065951579550195</v>
      </c>
      <c r="V47" s="23">
        <f t="shared" si="25"/>
        <v>0.35017400050256375</v>
      </c>
      <c r="W47" s="32">
        <f>IncidenceComplications!W9/IncidenceComplications!$G9</f>
        <v>4.3469086305127663E-2</v>
      </c>
      <c r="X47" s="18">
        <f>IncidenceComplications!X9/IncidenceComplications!$G9</f>
        <v>4.6423296054019835E-3</v>
      </c>
      <c r="Y47" s="140">
        <f t="shared" si="16"/>
        <v>3.8826756699725677E-2</v>
      </c>
      <c r="Z47" s="23">
        <f>ABS(Y47)/SQRT(ABS(Y47)*(1-ABS(Y47))*(1/IncidenceComplications!G9+1/IncidenceComplications!G9))</f>
        <v>13.835921050159865</v>
      </c>
      <c r="AA47" s="23">
        <f t="shared" si="17"/>
        <v>1.0760314817212296E-42</v>
      </c>
      <c r="AB47" s="18">
        <f>IncidenceComplications!Y9/IncidenceComplications!$W9</f>
        <v>5.5825242718446605E-2</v>
      </c>
      <c r="AC47" s="18">
        <f>IncidenceComplications!Z9/IncidenceComplications!$X9</f>
        <v>2.2727272727272728E-2</v>
      </c>
      <c r="AD47" s="140">
        <f t="shared" si="18"/>
        <v>3.3097969991173877E-2</v>
      </c>
      <c r="AE47" s="23">
        <f>ABS(AD47)/SQRT(ABS(AD47)*(1-ABS(AD47))*(1/IncidenceComplications!W9+1/IncidenceComplications!X9))</f>
        <v>1.1665462659029879</v>
      </c>
      <c r="AF47" s="26">
        <f t="shared" si="19"/>
        <v>0.20202706034466025</v>
      </c>
    </row>
    <row r="48" spans="1:36" x14ac:dyDescent="0.25">
      <c r="A48" s="261"/>
      <c r="B48" s="6" t="s">
        <v>6</v>
      </c>
      <c r="C48" s="7"/>
      <c r="D48" s="134">
        <f>IncidenceComplications!D10/IncidenceComplications!C10</f>
        <v>6.467406525914432E-2</v>
      </c>
      <c r="E48" s="134">
        <f>IncidenceComplications!E10/IncidenceComplications!D10</f>
        <v>4.993107673456885E-3</v>
      </c>
      <c r="F48" s="32">
        <f>IncidenceComplications!F10/IncidenceComplications!E10</f>
        <v>0.36881152803538308</v>
      </c>
      <c r="G48" s="134">
        <f>IncidenceComplications!G10/IncidenceComplications!F10</f>
        <v>0.95899419729206958</v>
      </c>
      <c r="H48" s="211">
        <f t="shared" si="21"/>
        <v>0.94271883824122626</v>
      </c>
      <c r="I48" s="211">
        <f t="shared" si="22"/>
        <v>5.7281161758773701E-2</v>
      </c>
      <c r="J48" s="211">
        <f t="shared" si="23"/>
        <v>0.92174263816054858</v>
      </c>
      <c r="K48" s="211">
        <f t="shared" si="24"/>
        <v>7.8257361839451395E-2</v>
      </c>
      <c r="L48" s="30"/>
      <c r="M48" s="32">
        <f>IncidenceComplications!M10/IncidenceComplications!$G10</f>
        <v>3.7918515530455832E-2</v>
      </c>
      <c r="N48" s="19">
        <f>IncidenceComplications!N10/IncidenceComplications!$G10</f>
        <v>7.6643807987091571E-3</v>
      </c>
      <c r="O48" s="141">
        <f t="shared" si="20"/>
        <v>3.0254134731746676E-2</v>
      </c>
      <c r="P48" s="24">
        <f>O48^2/((M48+N48/2)*(1-(M48+N48/2))*(1/IncidenceComplications!G10+1/IncidenceComplications!G10))</f>
        <v>28.357874314789569</v>
      </c>
      <c r="Q48" s="27">
        <f t="shared" si="26"/>
        <v>9.5021682275731344E-176</v>
      </c>
      <c r="R48" s="32">
        <f>IncidenceComplications!O10/IncidenceComplications!M10</f>
        <v>0</v>
      </c>
      <c r="S48" s="19">
        <f>IncidenceComplications!P10/IncidenceComplications!N10</f>
        <v>0</v>
      </c>
      <c r="T48" s="141">
        <f t="shared" si="15"/>
        <v>0</v>
      </c>
      <c r="U48" s="24" t="e">
        <f>ABS(T48)/SQRT(ABS(T48)*(1-ABS(T48))*(1/IncidenceComplications!M10+1/IncidenceComplications!N10))</f>
        <v>#DIV/0!</v>
      </c>
      <c r="V48" s="24" t="e">
        <f t="shared" si="25"/>
        <v>#DIV/0!</v>
      </c>
      <c r="W48" s="33">
        <f>IncidenceComplications!W10/IncidenceComplications!$G10</f>
        <v>9.1569181121419929E-2</v>
      </c>
      <c r="X48" s="19">
        <f>IncidenceComplications!X10/IncidenceComplications!$G10</f>
        <v>8.4711577248890689E-3</v>
      </c>
      <c r="Y48" s="141">
        <f t="shared" si="16"/>
        <v>8.3098023396530857E-2</v>
      </c>
      <c r="Z48" s="24">
        <f>ABS(Y48)/SQRT(ABS(Y48)*(1-ABS(Y48))*(1/IncidenceComplications!G10+1/IncidenceComplications!G10))</f>
        <v>10.598811245796441</v>
      </c>
      <c r="AA48" s="24">
        <f t="shared" si="17"/>
        <v>1.6133114689032883E-25</v>
      </c>
      <c r="AB48" s="19">
        <f>IncidenceComplications!Y10/IncidenceComplications!$W10</f>
        <v>7.4889867841409691E-2</v>
      </c>
      <c r="AC48" s="19">
        <f>IncidenceComplications!Z10/IncidenceComplications!$X10</f>
        <v>4.7619047619047616E-2</v>
      </c>
      <c r="AD48" s="141">
        <f t="shared" si="18"/>
        <v>2.7270820222362074E-2</v>
      </c>
      <c r="AE48" s="24">
        <f>ABS(AD48)/SQRT(ABS(AD48)*(1-ABS(AD48))*(1/IncidenceComplications!W10+1/IncidenceComplications!X10))</f>
        <v>0.73409093936601744</v>
      </c>
      <c r="AF48" s="27">
        <f t="shared" si="19"/>
        <v>0.30471350038485484</v>
      </c>
    </row>
    <row r="49" spans="1:32" ht="15.75" thickBot="1" x14ac:dyDescent="0.3">
      <c r="A49" s="262"/>
      <c r="B49" s="15" t="s">
        <v>14</v>
      </c>
      <c r="C49" s="213"/>
      <c r="D49" s="135">
        <f>IncidenceComplications!D11/IncidenceComplications!C11</f>
        <v>9.9829036766372004E-2</v>
      </c>
      <c r="E49" s="135">
        <f>IncidenceComplications!E11/IncidenceComplications!D11</f>
        <v>9.2624245391739468E-3</v>
      </c>
      <c r="F49" s="34">
        <f>IncidenceComplications!F11/IncidenceComplications!E11</f>
        <v>0.33875928388197213</v>
      </c>
      <c r="G49" s="135">
        <f>IncidenceComplications!G11/IncidenceComplications!F11</f>
        <v>0.93969789477857513</v>
      </c>
      <c r="H49" s="20">
        <f t="shared" si="21"/>
        <v>0.71230275926082187</v>
      </c>
      <c r="I49" s="20">
        <f t="shared" si="22"/>
        <v>0.28769724073917813</v>
      </c>
      <c r="J49" s="20">
        <f t="shared" si="23"/>
        <v>0.6753016623069783</v>
      </c>
      <c r="K49" s="20">
        <f t="shared" si="24"/>
        <v>0.3246983376930217</v>
      </c>
      <c r="L49" s="17"/>
      <c r="M49" s="34">
        <f>IncidenceComplications!M11/IncidenceComplications!$G11</f>
        <v>6.6661041262340737E-2</v>
      </c>
      <c r="N49" s="20">
        <f>IncidenceComplications!N11/IncidenceComplications!$G11</f>
        <v>3.2782043709391612E-2</v>
      </c>
      <c r="O49" s="142">
        <f t="shared" si="20"/>
        <v>3.3878997552949125E-2</v>
      </c>
      <c r="P49" s="25">
        <f>O49^2/((M49+N49/2)*(1-(M49+N49/2))*(1/IncidenceComplications!G11+1/IncidenceComplications!G11))</f>
        <v>178.61626268594986</v>
      </c>
      <c r="Q49" s="28">
        <f t="shared" si="26"/>
        <v>0</v>
      </c>
      <c r="R49" s="34">
        <f>IncidenceComplications!O11/IncidenceComplications!M11</f>
        <v>1.8987341772151898E-3</v>
      </c>
      <c r="S49" s="20">
        <f>IncidenceComplications!P11/IncidenceComplications!N11</f>
        <v>5.1480051480051478E-3</v>
      </c>
      <c r="T49" s="142">
        <f t="shared" si="15"/>
        <v>-3.2492709707899583E-3</v>
      </c>
      <c r="U49" s="25">
        <f>ABS(T49)/SQRT(ABS(T49)*(1-ABS(T49))*(1/IncidenceComplications!M11+1/IncidenceComplications!N11))</f>
        <v>1.3030435951993136</v>
      </c>
      <c r="V49" s="25">
        <f t="shared" si="25"/>
        <v>0.17069109148176098</v>
      </c>
      <c r="W49" s="34">
        <f>IncidenceComplications!W11/IncidenceComplications!$G11</f>
        <v>5.3919500464095854E-2</v>
      </c>
      <c r="X49" s="20">
        <f>IncidenceComplications!X11/IncidenceComplications!$G11</f>
        <v>7.6786769049025398E-3</v>
      </c>
      <c r="Y49" s="142">
        <f t="shared" si="16"/>
        <v>4.6240823559193317E-2</v>
      </c>
      <c r="Z49" s="25">
        <f>ABS(Y49)/SQRT(ABS(Y49)*(1-ABS(Y49))*(1/IncidenceComplications!G11+1/IncidenceComplications!G11))</f>
        <v>23.970158982189194</v>
      </c>
      <c r="AA49" s="25">
        <f t="shared" si="17"/>
        <v>6.8381851558214676E-126</v>
      </c>
      <c r="AB49" s="129">
        <f>IncidenceComplications!Y11/IncidenceComplications!$W11</f>
        <v>6.8857589984350542E-2</v>
      </c>
      <c r="AC49" s="129">
        <f>IncidenceComplications!Z11/IncidenceComplications!$X11</f>
        <v>4.9450549450549448E-2</v>
      </c>
      <c r="AD49" s="142">
        <f t="shared" si="18"/>
        <v>1.9407040533801094E-2</v>
      </c>
      <c r="AE49" s="25">
        <f>ABS(AD49)/SQRT(ABS(AD49)*(1-ABS(AD49))*(1/IncidenceComplications!W11+1/IncidenceComplications!X11))</f>
        <v>1.7756606238655215</v>
      </c>
      <c r="AF49" s="28">
        <f t="shared" si="19"/>
        <v>8.2461491956130631E-2</v>
      </c>
    </row>
    <row r="50" spans="1:32" ht="15.75" thickTop="1" x14ac:dyDescent="0.25">
      <c r="A50" s="263">
        <v>2013</v>
      </c>
      <c r="B50" s="5" t="s">
        <v>0</v>
      </c>
      <c r="C50" s="4"/>
      <c r="D50" s="133">
        <f>IncidenceComplications!D12/IncidenceComplications!C12</f>
        <v>0.12281493366642118</v>
      </c>
      <c r="E50" s="133">
        <f>IncidenceComplications!E12/IncidenceComplications!D12</f>
        <v>2.9778846955424026E-2</v>
      </c>
      <c r="F50" s="32">
        <f>IncidenceComplications!F12/IncidenceComplications!E12</f>
        <v>0.16476704659068186</v>
      </c>
      <c r="G50" s="133">
        <f>IncidenceComplications!G12/IncidenceComplications!F12</f>
        <v>0.90533980582524276</v>
      </c>
      <c r="H50" s="132">
        <f t="shared" si="21"/>
        <v>0</v>
      </c>
      <c r="I50" s="132">
        <f t="shared" si="22"/>
        <v>1</v>
      </c>
      <c r="J50" s="132">
        <f t="shared" si="23"/>
        <v>1.3404825737265416E-3</v>
      </c>
      <c r="K50" s="132">
        <f t="shared" si="24"/>
        <v>0.99865951742627346</v>
      </c>
      <c r="L50" s="29"/>
      <c r="M50" s="32">
        <f>IncidenceComplications!M12/IncidenceComplications!$G12</f>
        <v>0.27882037533512066</v>
      </c>
      <c r="N50" s="18">
        <f>IncidenceComplications!N12/IncidenceComplications!$G12</f>
        <v>0.15549597855227881</v>
      </c>
      <c r="O50" s="140">
        <f t="shared" si="20"/>
        <v>0.12332439678284185</v>
      </c>
      <c r="P50" s="23">
        <f>O50^2/((M50+N50/2)*(1-(M50+N50/2))*(1/IncidenceComplications!G12+1/IncidenceComplications!G12))</f>
        <v>24.726441102756905</v>
      </c>
      <c r="Q50" s="26">
        <f t="shared" si="26"/>
        <v>6.8827557991274656E-134</v>
      </c>
      <c r="R50" s="32">
        <f>IncidenceComplications!O12/IncidenceComplications!M12</f>
        <v>0</v>
      </c>
      <c r="S50" s="18">
        <f>IncidenceComplications!P12/IncidenceComplications!N12</f>
        <v>0</v>
      </c>
      <c r="T50" s="140">
        <f t="shared" si="15"/>
        <v>0</v>
      </c>
      <c r="U50" s="23" t="e">
        <f>ABS(T50)/SQRT(ABS(T50)*(1-ABS(T50))*(1/IncidenceComplications!M12+1/IncidenceComplications!N12))</f>
        <v>#DIV/0!</v>
      </c>
      <c r="V50" s="23" t="e">
        <f t="shared" si="25"/>
        <v>#DIV/0!</v>
      </c>
      <c r="W50" s="32">
        <f>IncidenceComplications!W12/IncidenceComplications!$G12</f>
        <v>0.1353887399463807</v>
      </c>
      <c r="X50" s="18">
        <f>IncidenceComplications!X12/IncidenceComplications!$G12</f>
        <v>3.351206434316354E-2</v>
      </c>
      <c r="Y50" s="140">
        <f t="shared" si="16"/>
        <v>0.10187667560321717</v>
      </c>
      <c r="Z50" s="23">
        <f>ABS(Y50)/SQRT(ABS(Y50)*(1-ABS(Y50))*(1/IncidenceComplications!G12+1/IncidenceComplications!G12))</f>
        <v>6.5046481658268069</v>
      </c>
      <c r="AA50" s="23">
        <f t="shared" si="17"/>
        <v>2.5900793599225564E-10</v>
      </c>
      <c r="AB50" s="18">
        <f>IncidenceComplications!Y12/IncidenceComplications!$W12</f>
        <v>0.15841584158415842</v>
      </c>
      <c r="AC50" s="18">
        <f>IncidenceComplications!Z12/IncidenceComplications!$X12</f>
        <v>0.2</v>
      </c>
      <c r="AD50" s="140">
        <f t="shared" si="18"/>
        <v>-4.1584158415841593E-2</v>
      </c>
      <c r="AE50" s="23">
        <f>ABS(AD50)/SQRT(ABS(AD50)*(1-ABS(AD50))*(1/IncidenceComplications!W12+1/IncidenceComplications!X12))</f>
        <v>0.93246466856751298</v>
      </c>
      <c r="AF50" s="26">
        <f t="shared" si="19"/>
        <v>0.25828705087055392</v>
      </c>
    </row>
    <row r="51" spans="1:32" x14ac:dyDescent="0.25">
      <c r="A51" s="261"/>
      <c r="B51" s="5" t="s">
        <v>1</v>
      </c>
      <c r="C51" s="4"/>
      <c r="D51" s="133">
        <f>IncidenceComplications!D13/IncidenceComplications!C13</f>
        <v>0.11429167645595259</v>
      </c>
      <c r="E51" s="133">
        <f>IncidenceComplications!E13/IncidenceComplications!D13</f>
        <v>3.8888037691040718E-2</v>
      </c>
      <c r="F51" s="32">
        <f>IncidenceComplications!F13/IncidenceComplications!E13</f>
        <v>0.34449642945087416</v>
      </c>
      <c r="G51" s="133">
        <f>IncidenceComplications!G13/IncidenceComplications!F13</f>
        <v>0.82678103407195613</v>
      </c>
      <c r="H51" s="132">
        <f t="shared" si="21"/>
        <v>6.3400576368876083E-3</v>
      </c>
      <c r="I51" s="132">
        <f t="shared" ref="I51:I74" si="27">I13/G13</f>
        <v>0.99365994236311239</v>
      </c>
      <c r="J51" s="132">
        <f t="shared" ref="J51:J74" si="28">J13/G13</f>
        <v>6.6282420749279539E-3</v>
      </c>
      <c r="K51" s="132">
        <f t="shared" ref="K51:K74" si="29">K13/G13</f>
        <v>0.99337175792507204</v>
      </c>
      <c r="L51" s="29"/>
      <c r="M51" s="32">
        <f>IncidenceComplications!M13/IncidenceComplications!$G13</f>
        <v>0.34092219020172909</v>
      </c>
      <c r="N51" s="18">
        <f>IncidenceComplications!N13/IncidenceComplications!$G13</f>
        <v>0.25417867435158503</v>
      </c>
      <c r="O51" s="140">
        <f t="shared" si="20"/>
        <v>8.674351585014406E-2</v>
      </c>
      <c r="P51" s="23">
        <f>O51^2/((M51+N51/2)*(1-(M51+N51/2))*(1/IncidenceComplications!G13+1/IncidenceComplications!G13))</f>
        <v>52.434212369708916</v>
      </c>
      <c r="Q51" s="26">
        <f t="shared" si="26"/>
        <v>0</v>
      </c>
      <c r="R51" s="32">
        <f>IncidenceComplications!O13/IncidenceComplications!M13</f>
        <v>1.6906170752324597E-3</v>
      </c>
      <c r="S51" s="18">
        <f>IncidenceComplications!P13/IncidenceComplications!N13</f>
        <v>1.1337868480725624E-3</v>
      </c>
      <c r="T51" s="140">
        <f t="shared" si="15"/>
        <v>5.5683022715989736E-4</v>
      </c>
      <c r="U51" s="23">
        <f>ABS(T51)/SQRT(ABS(T51)*(1-ABS(T51))*(1/IncidenceComplications!M13+1/IncidenceComplications!N13))</f>
        <v>0.53057769174441116</v>
      </c>
      <c r="V51" s="23">
        <f t="shared" si="25"/>
        <v>0.34656153820180347</v>
      </c>
      <c r="W51" s="32">
        <f>IncidenceComplications!W13/IncidenceComplications!$G13</f>
        <v>0.1170028818443804</v>
      </c>
      <c r="X51" s="18">
        <f>IncidenceComplications!X13/IncidenceComplications!$G13</f>
        <v>3.7463976945244955E-2</v>
      </c>
      <c r="Y51" s="140">
        <f t="shared" si="16"/>
        <v>7.9538904899135454E-2</v>
      </c>
      <c r="Z51" s="23">
        <f>ABS(Y51)/SQRT(ABS(Y51)*(1-ABS(Y51))*(1/IncidenceComplications!G13+1/IncidenceComplications!G13))</f>
        <v>12.244380715692927</v>
      </c>
      <c r="AA51" s="23">
        <f t="shared" si="17"/>
        <v>1.109533858897246E-33</v>
      </c>
      <c r="AB51" s="18">
        <f>IncidenceComplications!Y13/IncidenceComplications!$W13</f>
        <v>0.10344827586206896</v>
      </c>
      <c r="AC51" s="18">
        <f>IncidenceComplications!Z13/IncidenceComplications!$X13</f>
        <v>6.9230769230769235E-2</v>
      </c>
      <c r="AD51" s="140">
        <f t="shared" si="18"/>
        <v>3.4217506631299729E-2</v>
      </c>
      <c r="AE51" s="23">
        <f>ABS(AD51)/SQRT(ABS(AD51)*(1-ABS(AD51))*(1/IncidenceComplications!W13+1/IncidenceComplications!X13))</f>
        <v>1.867827708818478</v>
      </c>
      <c r="AF51" s="26">
        <f t="shared" si="19"/>
        <v>6.9715771624909467E-2</v>
      </c>
    </row>
    <row r="52" spans="1:32" x14ac:dyDescent="0.25">
      <c r="A52" s="261"/>
      <c r="B52" s="5" t="s">
        <v>2</v>
      </c>
      <c r="C52" s="4"/>
      <c r="D52" s="133">
        <f>IncidenceComplications!D14/IncidenceComplications!C14</f>
        <v>0.11033416464931836</v>
      </c>
      <c r="E52" s="133">
        <f>IncidenceComplications!E14/IncidenceComplications!D14</f>
        <v>2.9156906001955925E-2</v>
      </c>
      <c r="F52" s="32">
        <f>IncidenceComplications!F14/IncidenceComplications!E14</f>
        <v>0.35981724983285046</v>
      </c>
      <c r="G52" s="133">
        <f>IncidenceComplications!G14/IncidenceComplications!F14</f>
        <v>0.90213688448436047</v>
      </c>
      <c r="H52" s="132">
        <f t="shared" si="21"/>
        <v>1.0298661174047374E-2</v>
      </c>
      <c r="I52" s="132">
        <f t="shared" si="27"/>
        <v>0.98970133882595268</v>
      </c>
      <c r="J52" s="132">
        <f t="shared" si="28"/>
        <v>8.9255063508410573E-3</v>
      </c>
      <c r="K52" s="132">
        <f t="shared" si="29"/>
        <v>0.99107449364915889</v>
      </c>
      <c r="L52" s="29"/>
      <c r="M52" s="32">
        <f>IncidenceComplications!M14/IncidenceComplications!$G14</f>
        <v>0.1579128046687264</v>
      </c>
      <c r="N52" s="18">
        <f>IncidenceComplications!N14/IncidenceComplications!$G14</f>
        <v>0.10916580844490216</v>
      </c>
      <c r="O52" s="140">
        <f t="shared" si="20"/>
        <v>4.8746996223824238E-2</v>
      </c>
      <c r="P52" s="23">
        <f>O52^2/((M52+N52/2)*(1-(M52+N52/2))*(1/IncidenceComplications!G14+1/IncidenceComplications!G14))</f>
        <v>20.6825039120104</v>
      </c>
      <c r="Q52" s="26">
        <f t="shared" si="26"/>
        <v>5.1607203531468013E-94</v>
      </c>
      <c r="R52" s="32">
        <f>IncidenceComplications!O14/IncidenceComplications!M14</f>
        <v>2.1739130434782609E-3</v>
      </c>
      <c r="S52" s="18">
        <f>IncidenceComplications!P14/IncidenceComplications!N14</f>
        <v>3.1446540880503146E-3</v>
      </c>
      <c r="T52" s="140">
        <f t="shared" si="15"/>
        <v>-9.7074104457205374E-4</v>
      </c>
      <c r="U52" s="23">
        <f>ABS(T52)/SQRT(ABS(T52)*(1-ABS(T52))*(1/IncidenceComplications!M14+1/IncidenceComplications!N14))</f>
        <v>0.42743026486713265</v>
      </c>
      <c r="V52" s="23">
        <f t="shared" si="25"/>
        <v>0.36411451875289202</v>
      </c>
      <c r="W52" s="32">
        <f>IncidenceComplications!W14/IncidenceComplications!$G14</f>
        <v>5.6642636457260559E-2</v>
      </c>
      <c r="X52" s="18">
        <f>IncidenceComplications!X14/IncidenceComplications!$G14</f>
        <v>1.4761414349467903E-2</v>
      </c>
      <c r="Y52" s="140">
        <f t="shared" si="16"/>
        <v>4.1881222107792659E-2</v>
      </c>
      <c r="Z52" s="23">
        <f>ABS(Y52)/SQRT(ABS(Y52)*(1-ABS(Y52))*(1/IncidenceComplications!G14+1/IncidenceComplications!G14))</f>
        <v>7.9791245010749519</v>
      </c>
      <c r="AA52" s="23">
        <f t="shared" si="17"/>
        <v>5.9692659290053592E-15</v>
      </c>
      <c r="AB52" s="18">
        <f>IncidenceComplications!Y14/IncidenceComplications!$W14</f>
        <v>5.4545454545454543E-2</v>
      </c>
      <c r="AC52" s="18">
        <f>IncidenceComplications!Z14/IncidenceComplications!$X14</f>
        <v>6.9767441860465115E-2</v>
      </c>
      <c r="AD52" s="140">
        <f t="shared" si="18"/>
        <v>-1.5221987315010573E-2</v>
      </c>
      <c r="AE52" s="23">
        <f>ABS(AD52)/SQRT(ABS(AD52)*(1-ABS(AD52))*(1/IncidenceComplications!W14+1/IncidenceComplications!X14))</f>
        <v>0.7261244132198863</v>
      </c>
      <c r="AF52" s="26">
        <f t="shared" si="19"/>
        <v>0.30649100701252219</v>
      </c>
    </row>
    <row r="53" spans="1:32" x14ac:dyDescent="0.25">
      <c r="A53" s="261"/>
      <c r="B53" s="5" t="s">
        <v>3</v>
      </c>
      <c r="C53" s="4"/>
      <c r="D53" s="133">
        <f>IncidenceComplications!D15/IncidenceComplications!C15</f>
        <v>0.11805499235367449</v>
      </c>
      <c r="E53" s="133">
        <f>IncidenceComplications!E15/IncidenceComplications!D15</f>
        <v>2.0452993492229343E-2</v>
      </c>
      <c r="F53" s="32">
        <f>IncidenceComplications!F15/IncidenceComplications!E15</f>
        <v>0.33856261732367926</v>
      </c>
      <c r="G53" s="133">
        <f>IncidenceComplications!G15/IncidenceComplications!F15</f>
        <v>0.9350495049504951</v>
      </c>
      <c r="H53" s="132">
        <f t="shared" si="21"/>
        <v>4.849639983058026E-2</v>
      </c>
      <c r="I53" s="132">
        <f t="shared" si="27"/>
        <v>0.95150360016941971</v>
      </c>
      <c r="J53" s="132">
        <f t="shared" si="28"/>
        <v>4.3837357052096571E-2</v>
      </c>
      <c r="K53" s="132">
        <f t="shared" si="29"/>
        <v>0.95616264294790343</v>
      </c>
      <c r="L53" s="29"/>
      <c r="M53" s="32">
        <f>IncidenceComplications!M15/IncidenceComplications!$G15</f>
        <v>7.0520965692503171E-2</v>
      </c>
      <c r="N53" s="18">
        <f>IncidenceComplications!N15/IncidenceComplications!$G15</f>
        <v>3.2189750105887337E-2</v>
      </c>
      <c r="O53" s="140">
        <f t="shared" si="20"/>
        <v>3.8331215586615834E-2</v>
      </c>
      <c r="P53" s="23">
        <f>O53^2/((M53+N53/2)*(1-(M53+N53/2))*(1/IncidenceComplications!G15+1/IncidenceComplications!G15))</f>
        <v>43.848058720522523</v>
      </c>
      <c r="Q53" s="26">
        <f t="shared" si="26"/>
        <v>0</v>
      </c>
      <c r="R53" s="32">
        <f>IncidenceComplications!O15/IncidenceComplications!M15</f>
        <v>3.003003003003003E-3</v>
      </c>
      <c r="S53" s="18">
        <f>IncidenceComplications!P15/IncidenceComplications!N15</f>
        <v>0</v>
      </c>
      <c r="T53" s="140">
        <f t="shared" si="15"/>
        <v>3.003003003003003E-3</v>
      </c>
      <c r="U53" s="23">
        <f>ABS(T53)/SQRT(ABS(T53)*(1-ABS(T53))*(1/IncidenceComplications!M15+1/IncidenceComplications!N15))</f>
        <v>0.56066571499396434</v>
      </c>
      <c r="V53" s="23">
        <f t="shared" si="25"/>
        <v>0.34091859477788061</v>
      </c>
      <c r="W53" s="32">
        <f>IncidenceComplications!W15/IncidenceComplications!$G15</f>
        <v>3.7695891571368066E-2</v>
      </c>
      <c r="X53" s="18">
        <f>IncidenceComplications!X15/IncidenceComplications!$G15</f>
        <v>5.7179161372299869E-3</v>
      </c>
      <c r="Y53" s="140">
        <f t="shared" si="16"/>
        <v>3.1977975434138078E-2</v>
      </c>
      <c r="Z53" s="23">
        <f>ABS(Y53)/SQRT(ABS(Y53)*(1-ABS(Y53))*(1/IncidenceComplications!G15+1/IncidenceComplications!G15))</f>
        <v>8.8314264530843012</v>
      </c>
      <c r="AA53" s="23">
        <f t="shared" si="17"/>
        <v>4.6207015423976271E-18</v>
      </c>
      <c r="AB53" s="18">
        <f>IncidenceComplications!Y15/IncidenceComplications!$W15</f>
        <v>2.8089887640449437E-2</v>
      </c>
      <c r="AC53" s="18">
        <f>IncidenceComplications!Z15/IncidenceComplications!$X15</f>
        <v>0</v>
      </c>
      <c r="AD53" s="140">
        <f t="shared" si="18"/>
        <v>2.8089887640449437E-2</v>
      </c>
      <c r="AE53" s="23">
        <f>ABS(AD53)/SQRT(ABS(AD53)*(1-ABS(AD53))*(1/IncidenceComplications!W15+1/IncidenceComplications!X15))</f>
        <v>0.82314605912552608</v>
      </c>
      <c r="AF53" s="26">
        <f t="shared" si="19"/>
        <v>0.28430057138488563</v>
      </c>
    </row>
    <row r="54" spans="1:32" x14ac:dyDescent="0.25">
      <c r="A54" s="261"/>
      <c r="B54" s="5" t="s">
        <v>4</v>
      </c>
      <c r="C54" s="4"/>
      <c r="D54" s="133">
        <f>IncidenceComplications!D16/IncidenceComplications!C16</f>
        <v>0.12774081822599137</v>
      </c>
      <c r="E54" s="133">
        <f>IncidenceComplications!E16/IncidenceComplications!D16</f>
        <v>1.7398014864043816E-2</v>
      </c>
      <c r="F54" s="32">
        <f>IncidenceComplications!F16/IncidenceComplications!E16</f>
        <v>0.33308507116848723</v>
      </c>
      <c r="G54" s="133">
        <f>IncidenceComplications!G16/IncidenceComplications!F16</f>
        <v>0.97879917184265008</v>
      </c>
      <c r="H54" s="132">
        <f t="shared" si="21"/>
        <v>0.85379473728741861</v>
      </c>
      <c r="I54" s="132">
        <f t="shared" si="27"/>
        <v>0.14620526271258144</v>
      </c>
      <c r="J54" s="132">
        <f t="shared" si="28"/>
        <v>0.79575260174295626</v>
      </c>
      <c r="K54" s="132">
        <f t="shared" si="29"/>
        <v>0.20424739825704374</v>
      </c>
      <c r="L54" s="29"/>
      <c r="M54" s="32">
        <f>IncidenceComplications!M16/IncidenceComplications!$G16</f>
        <v>3.4605296556392252E-2</v>
      </c>
      <c r="N54" s="18">
        <f>IncidenceComplications!N16/IncidenceComplications!$G16</f>
        <v>1.3875962433369998E-2</v>
      </c>
      <c r="O54" s="140">
        <f t="shared" si="20"/>
        <v>2.0729334123022254E-2</v>
      </c>
      <c r="P54" s="23">
        <f>O54^2/((M54+N54/2)*(1-(M54+N54/2))*(1/IncidenceComplications!G16+1/IncidenceComplications!G16))</f>
        <v>63.774663127682459</v>
      </c>
      <c r="Q54" s="26">
        <f t="shared" si="26"/>
        <v>0</v>
      </c>
      <c r="R54" s="32">
        <f>IncidenceComplications!O16/IncidenceComplications!M16</f>
        <v>7.3349633251833741E-3</v>
      </c>
      <c r="S54" s="18">
        <f>IncidenceComplications!P16/IncidenceComplications!N16</f>
        <v>6.0975609756097563E-3</v>
      </c>
      <c r="T54" s="140">
        <f t="shared" si="15"/>
        <v>1.2374023495736177E-3</v>
      </c>
      <c r="U54" s="23">
        <f>ABS(T54)/SQRT(ABS(T54)*(1-ABS(T54))*(1/IncidenceComplications!M16+1/IncidenceComplications!N16))</f>
        <v>0.38082951538588949</v>
      </c>
      <c r="V54" s="23">
        <f t="shared" si="25"/>
        <v>0.37103677655788814</v>
      </c>
      <c r="W54" s="32">
        <f>IncidenceComplications!W16/IncidenceComplications!$G16</f>
        <v>2.4282934258397497E-2</v>
      </c>
      <c r="X54" s="18">
        <f>IncidenceComplications!X16/IncidenceComplications!$G16</f>
        <v>2.6228953380150605E-3</v>
      </c>
      <c r="Y54" s="140">
        <f t="shared" si="16"/>
        <v>2.1660038920382436E-2</v>
      </c>
      <c r="Z54" s="23">
        <f>ABS(Y54)/SQRT(ABS(Y54)*(1-ABS(Y54))*(1/IncidenceComplications!G16+1/IncidenceComplications!G16))</f>
        <v>11.43826327042723</v>
      </c>
      <c r="AA54" s="23">
        <f t="shared" si="17"/>
        <v>1.5513039600584936E-29</v>
      </c>
      <c r="AB54" s="18">
        <f>IncidenceComplications!Y16/IncidenceComplications!$W16</f>
        <v>4.1811846689895474E-2</v>
      </c>
      <c r="AC54" s="18">
        <f>IncidenceComplications!Z16/IncidenceComplications!$X16</f>
        <v>9.6774193548387094E-2</v>
      </c>
      <c r="AD54" s="140">
        <f t="shared" si="18"/>
        <v>-5.496234685849162E-2</v>
      </c>
      <c r="AE54" s="23">
        <f>ABS(AD54)/SQRT(ABS(AD54)*(1-ABS(AD54))*(1/IncidenceComplications!W16+1/IncidenceComplications!X16))</f>
        <v>1.2756052950745171</v>
      </c>
      <c r="AF54" s="26">
        <f t="shared" si="19"/>
        <v>0.17683769091056803</v>
      </c>
    </row>
    <row r="55" spans="1:32" x14ac:dyDescent="0.25">
      <c r="A55" s="261"/>
      <c r="B55" s="5" t="s">
        <v>5</v>
      </c>
      <c r="C55" s="4"/>
      <c r="D55" s="133">
        <f>IncidenceComplications!D17/IncidenceComplications!C17</f>
        <v>0.11295996500177288</v>
      </c>
      <c r="E55" s="133">
        <f>IncidenceComplications!E17/IncidenceComplications!D17</f>
        <v>1.8506158643380996E-2</v>
      </c>
      <c r="F55" s="32">
        <f>IncidenceComplications!F17/IncidenceComplications!E17</f>
        <v>0.34264631787670452</v>
      </c>
      <c r="G55" s="133">
        <f>IncidenceComplications!G17/IncidenceComplications!F17</f>
        <v>0.98989659425101983</v>
      </c>
      <c r="H55" s="132">
        <f t="shared" si="21"/>
        <v>0.93823374383056213</v>
      </c>
      <c r="I55" s="132">
        <f t="shared" si="27"/>
        <v>6.1766256169437921E-2</v>
      </c>
      <c r="J55" s="132">
        <f t="shared" si="28"/>
        <v>0.89640136087019029</v>
      </c>
      <c r="K55" s="132">
        <f t="shared" si="29"/>
        <v>0.10359863912980977</v>
      </c>
      <c r="L55" s="29"/>
      <c r="M55" s="32">
        <f>IncidenceComplications!M17/IncidenceComplications!$G17</f>
        <v>2.875077866692223E-2</v>
      </c>
      <c r="N55" s="18">
        <f>IncidenceComplications!N17/IncidenceComplications!$G17</f>
        <v>1.1883655182327854E-2</v>
      </c>
      <c r="O55" s="140">
        <f t="shared" si="20"/>
        <v>1.6867123484594376E-2</v>
      </c>
      <c r="P55" s="23">
        <f>O55^2/((M55+N55/2)*(1-(M55+N55/2))*(1/IncidenceComplications!G17+1/IncidenceComplications!G17))</f>
        <v>88.644364819149573</v>
      </c>
      <c r="Q55" s="26">
        <f t="shared" si="26"/>
        <v>0</v>
      </c>
      <c r="R55" s="32">
        <f>IncidenceComplications!O17/IncidenceComplications!M17</f>
        <v>6.6666666666666671E-3</v>
      </c>
      <c r="S55" s="18">
        <f>IncidenceComplications!P17/IncidenceComplications!N17</f>
        <v>1.2096774193548387E-2</v>
      </c>
      <c r="T55" s="140">
        <f t="shared" si="15"/>
        <v>-5.4301075268817197E-3</v>
      </c>
      <c r="U55" s="23">
        <f>ABS(T55)/SQRT(ABS(T55)*(1-ABS(T55))*(1/IncidenceComplications!M17+1/IncidenceComplications!N17))</f>
        <v>0.97879129934175169</v>
      </c>
      <c r="V55" s="23">
        <f t="shared" si="25"/>
        <v>0.24710183570020122</v>
      </c>
      <c r="W55" s="32">
        <f>IncidenceComplications!W17/IncidenceComplications!$G17</f>
        <v>4.2503234462600029E-2</v>
      </c>
      <c r="X55" s="18">
        <f>IncidenceComplications!X17/IncidenceComplications!$G17</f>
        <v>6.7564329867267235E-3</v>
      </c>
      <c r="Y55" s="140">
        <f t="shared" si="16"/>
        <v>3.5746801475873308E-2</v>
      </c>
      <c r="Z55" s="23">
        <f>ABS(Y55)/SQRT(ABS(Y55)*(1-ABS(Y55))*(1/IncidenceComplications!G17+1/IncidenceComplications!G17))</f>
        <v>19.66793986845558</v>
      </c>
      <c r="AA55" s="23">
        <f t="shared" si="17"/>
        <v>4.0022833537734684E-85</v>
      </c>
      <c r="AB55" s="18">
        <f>IncidenceComplications!Y17/IncidenceComplications!$W17</f>
        <v>4.6223224351747465E-2</v>
      </c>
      <c r="AC55" s="18">
        <f>IncidenceComplications!Z17/IncidenceComplications!$X17</f>
        <v>2.8368794326241134E-2</v>
      </c>
      <c r="AD55" s="140">
        <f t="shared" si="18"/>
        <v>1.7854430025506331E-2</v>
      </c>
      <c r="AE55" s="23">
        <f>ABS(AD55)/SQRT(ABS(AD55)*(1-ABS(AD55))*(1/IncidenceComplications!W17+1/IncidenceComplications!X17))</f>
        <v>1.487167456200517</v>
      </c>
      <c r="AF55" s="26">
        <f t="shared" si="19"/>
        <v>0.13202393400719156</v>
      </c>
    </row>
    <row r="56" spans="1:32" x14ac:dyDescent="0.25">
      <c r="A56" s="261"/>
      <c r="B56" s="6" t="s">
        <v>6</v>
      </c>
      <c r="C56" s="7"/>
      <c r="D56" s="134">
        <f>IncidenceComplications!D18/IncidenceComplications!C18</f>
        <v>6.768567726273661E-2</v>
      </c>
      <c r="E56" s="134">
        <f>IncidenceComplications!E18/IncidenceComplications!D18</f>
        <v>7.7176855155905322E-3</v>
      </c>
      <c r="F56" s="32">
        <f>IncidenceComplications!F18/IncidenceComplications!E18</f>
        <v>0.37871783689489752</v>
      </c>
      <c r="G56" s="134">
        <f>IncidenceComplications!G18/IncidenceComplications!F18</f>
        <v>0.97812068171349609</v>
      </c>
      <c r="H56" s="132">
        <f t="shared" si="21"/>
        <v>0.93713209324228863</v>
      </c>
      <c r="I56" s="132">
        <f t="shared" si="27"/>
        <v>6.2867906757711325E-2</v>
      </c>
      <c r="J56" s="132">
        <f t="shared" si="28"/>
        <v>0.9274782199199435</v>
      </c>
      <c r="K56" s="132">
        <f t="shared" si="29"/>
        <v>7.2521780080056511E-2</v>
      </c>
      <c r="L56" s="29"/>
      <c r="M56" s="32">
        <f>IncidenceComplications!M18/IncidenceComplications!$G18</f>
        <v>3.0138921591711797E-2</v>
      </c>
      <c r="N56" s="19">
        <f>IncidenceComplications!N18/IncidenceComplications!$G18</f>
        <v>9.4184129974099369E-3</v>
      </c>
      <c r="O56" s="141">
        <f t="shared" si="20"/>
        <v>2.072050859430186E-2</v>
      </c>
      <c r="P56" s="24">
        <f>O56^2/((M56+N56/2)*(1-(M56+N56/2))*(1/IncidenceComplications!G18+1/IncidenceComplications!G18))</f>
        <v>27.106782801342455</v>
      </c>
      <c r="Q56" s="27">
        <f t="shared" si="26"/>
        <v>1.1116433614480528E-160</v>
      </c>
      <c r="R56" s="32">
        <f>IncidenceComplications!O18/IncidenceComplications!M18</f>
        <v>0</v>
      </c>
      <c r="S56" s="19">
        <f>IncidenceComplications!P18/IncidenceComplications!N18</f>
        <v>0</v>
      </c>
      <c r="T56" s="141">
        <f t="shared" si="15"/>
        <v>0</v>
      </c>
      <c r="U56" s="24" t="e">
        <f>ABS(T56)/SQRT(ABS(T56)*(1-ABS(T56))*(1/IncidenceComplications!M18+1/IncidenceComplications!N18))</f>
        <v>#DIV/0!</v>
      </c>
      <c r="V56" s="24" t="e">
        <f t="shared" si="25"/>
        <v>#DIV/0!</v>
      </c>
      <c r="W56" s="33">
        <f>IncidenceComplications!W18/IncidenceComplications!$G18</f>
        <v>8.5472097951495171E-2</v>
      </c>
      <c r="X56" s="19">
        <f>IncidenceComplications!X18/IncidenceComplications!$G18</f>
        <v>6.828349423122204E-3</v>
      </c>
      <c r="Y56" s="141">
        <f t="shared" si="16"/>
        <v>7.864374852837297E-2</v>
      </c>
      <c r="Z56" s="24">
        <f>ABS(Y56)/SQRT(ABS(Y56)*(1-ABS(Y56))*(1/IncidenceComplications!G18+1/IncidenceComplications!G18))</f>
        <v>13.463080485591435</v>
      </c>
      <c r="AA56" s="24">
        <f t="shared" si="17"/>
        <v>1.7457724209102028E-40</v>
      </c>
      <c r="AB56" s="19">
        <f>IncidenceComplications!Y18/IncidenceComplications!$W18</f>
        <v>0.13774104683195593</v>
      </c>
      <c r="AC56" s="19">
        <f>IncidenceComplications!Z18/IncidenceComplications!$X18</f>
        <v>0.17241379310344829</v>
      </c>
      <c r="AD56" s="141">
        <f t="shared" si="18"/>
        <v>-3.4672746271492361E-2</v>
      </c>
      <c r="AE56" s="24">
        <f>ABS(AD56)/SQRT(ABS(AD56)*(1-ABS(AD56))*(1/IncidenceComplications!W18+1/IncidenceComplications!X18))</f>
        <v>0.98212352723689011</v>
      </c>
      <c r="AF56" s="27">
        <f t="shared" si="19"/>
        <v>0.24629584477544819</v>
      </c>
    </row>
    <row r="57" spans="1:32" ht="15.75" thickBot="1" x14ac:dyDescent="0.3">
      <c r="A57" s="262"/>
      <c r="B57" s="15" t="s">
        <v>14</v>
      </c>
      <c r="C57" s="213"/>
      <c r="D57" s="135">
        <f>IncidenceComplications!D19/IncidenceComplications!C19</f>
        <v>0.10415331480697865</v>
      </c>
      <c r="E57" s="135">
        <f>IncidenceComplications!E19/IncidenceComplications!D19</f>
        <v>1.7869049460194655E-2</v>
      </c>
      <c r="F57" s="34">
        <f>IncidenceComplications!F19/IncidenceComplications!E19</f>
        <v>0.33794355965353451</v>
      </c>
      <c r="G57" s="135">
        <f>IncidenceComplications!G19/IncidenceComplications!F19</f>
        <v>0.96037323569361599</v>
      </c>
      <c r="H57" s="20">
        <f t="shared" si="21"/>
        <v>0.69552740540318947</v>
      </c>
      <c r="I57" s="20">
        <f t="shared" si="27"/>
        <v>0.30447259459681059</v>
      </c>
      <c r="J57" s="20">
        <f t="shared" si="28"/>
        <v>0.66223916697413188</v>
      </c>
      <c r="K57" s="20">
        <f t="shared" si="29"/>
        <v>0.33776083302586807</v>
      </c>
      <c r="L57" s="17"/>
      <c r="M57" s="34">
        <f>IncidenceComplications!M19/IncidenceComplications!$G19</f>
        <v>6.8072807772721677E-2</v>
      </c>
      <c r="N57" s="20">
        <f>IncidenceComplications!N19/IncidenceComplications!$G19</f>
        <v>3.9355552822531052E-2</v>
      </c>
      <c r="O57" s="142">
        <f t="shared" si="20"/>
        <v>2.8717254950190625E-2</v>
      </c>
      <c r="P57" s="25">
        <f>O57^2/((M57+N57/2)*(1-(M57+N57/2))*(1/IncidenceComplications!G19+1/IncidenceComplications!G19))</f>
        <v>251.29708630960184</v>
      </c>
      <c r="Q57" s="28">
        <f t="shared" si="26"/>
        <v>0</v>
      </c>
      <c r="R57" s="34">
        <f>IncidenceComplications!O19/IncidenceComplications!M19</f>
        <v>3.3122553447756699E-3</v>
      </c>
      <c r="S57" s="20">
        <f>IncidenceComplications!P19/IncidenceComplications!N19</f>
        <v>3.1250000000000002E-3</v>
      </c>
      <c r="T57" s="142">
        <f t="shared" si="15"/>
        <v>1.8725534477566971E-4</v>
      </c>
      <c r="U57" s="25">
        <f>ABS(T57)/SQRT(ABS(T57)*(1-ABS(T57))*(1/IncidenceComplications!M19+1/IncidenceComplications!N19))</f>
        <v>0.47734870569248539</v>
      </c>
      <c r="V57" s="25">
        <f t="shared" si="25"/>
        <v>0.35598402361687531</v>
      </c>
      <c r="W57" s="34">
        <f>IncidenceComplications!W19/IncidenceComplications!$G19</f>
        <v>4.8927971139261263E-2</v>
      </c>
      <c r="X57" s="20">
        <f>IncidenceComplications!X19/IncidenceComplications!$G19</f>
        <v>8.7320132824990782E-3</v>
      </c>
      <c r="Y57" s="142">
        <f t="shared" si="16"/>
        <v>4.0195957856762186E-2</v>
      </c>
      <c r="Z57" s="25">
        <f>ABS(Y57)/SQRT(ABS(Y57)*(1-ABS(Y57))*(1/IncidenceComplications!G19+1/IncidenceComplications!G19))</f>
        <v>31.961894356722063</v>
      </c>
      <c r="AA57" s="25">
        <f t="shared" si="17"/>
        <v>5.9073171022467978E-223</v>
      </c>
      <c r="AB57" s="129">
        <f>IncidenceComplications!Y19/IncidenceComplications!$W19</f>
        <v>7.331378299120235E-2</v>
      </c>
      <c r="AC57" s="129">
        <f>IncidenceComplications!Z19/IncidenceComplications!$X19</f>
        <v>6.8075117370892016E-2</v>
      </c>
      <c r="AD57" s="142">
        <f t="shared" si="18"/>
        <v>5.2386656203103343E-3</v>
      </c>
      <c r="AE57" s="25">
        <f>ABS(AD57)/SQRT(ABS(AD57)*(1-ABS(AD57))*(1/IncidenceComplications!W19+1/IncidenceComplications!X19))</f>
        <v>1.3797392982127432</v>
      </c>
      <c r="AF57" s="28">
        <f t="shared" si="19"/>
        <v>0.15400367723242298</v>
      </c>
    </row>
    <row r="58" spans="1:32" ht="15.75" thickTop="1" x14ac:dyDescent="0.25">
      <c r="A58" s="263">
        <v>2014</v>
      </c>
      <c r="B58" s="5" t="s">
        <v>0</v>
      </c>
      <c r="C58" s="4"/>
      <c r="D58" s="133">
        <f>IncidenceComplications!D20/IncidenceComplications!C20</f>
        <v>0.12886399392778194</v>
      </c>
      <c r="E58" s="133">
        <f>IncidenceComplications!E20/IncidenceComplications!D20</f>
        <v>1.4456123385293326E-2</v>
      </c>
      <c r="F58" s="32">
        <f>IncidenceComplications!F20/IncidenceComplications!E20</f>
        <v>0.20942607373622196</v>
      </c>
      <c r="G58" s="133">
        <f>IncidenceComplications!G20/IncidenceComplications!F20</f>
        <v>0.85480943738656989</v>
      </c>
      <c r="H58" s="132">
        <f t="shared" si="21"/>
        <v>2.1231422505307855E-3</v>
      </c>
      <c r="I58" s="132">
        <f t="shared" si="27"/>
        <v>0.99787685774946921</v>
      </c>
      <c r="J58" s="132">
        <f t="shared" si="28"/>
        <v>0</v>
      </c>
      <c r="K58" s="132">
        <f t="shared" si="29"/>
        <v>1</v>
      </c>
      <c r="L58" s="29"/>
      <c r="M58" s="32">
        <f>IncidenceComplications!M20/IncidenceComplications!$G20</f>
        <v>0.31210191082802546</v>
      </c>
      <c r="N58" s="18">
        <f>IncidenceComplications!N20/IncidenceComplications!$G20</f>
        <v>0.14437367303609341</v>
      </c>
      <c r="O58" s="140">
        <f t="shared" si="20"/>
        <v>0.16772823779193205</v>
      </c>
      <c r="P58" s="23">
        <f>O58^2/((M58+N58/2)*(1-(M58+N58/2))*(1/IncidenceComplications!G20+1/IncidenceComplications!G20))</f>
        <v>28.000676319298908</v>
      </c>
      <c r="Q58" s="26">
        <f t="shared" si="26"/>
        <v>2.2348524314835306E-171</v>
      </c>
      <c r="R58" s="32">
        <f>IncidenceComplications!O20/IncidenceComplications!M20</f>
        <v>2.7210884353741496E-2</v>
      </c>
      <c r="S58" s="18">
        <f>IncidenceComplications!P20/IncidenceComplications!N20</f>
        <v>0</v>
      </c>
      <c r="T58" s="140">
        <f t="shared" si="15"/>
        <v>2.7210884353741496E-2</v>
      </c>
      <c r="U58" s="23">
        <f>ABS(T58)/SQRT(ABS(T58)*(1-ABS(T58))*(1/IncidenceComplications!M20+1/IncidenceComplications!N20))</f>
        <v>1.1403964867605367</v>
      </c>
      <c r="V58" s="23">
        <f t="shared" si="25"/>
        <v>0.20821364089651329</v>
      </c>
      <c r="W58" s="32">
        <f>IncidenceComplications!W20/IncidenceComplications!$G20</f>
        <v>0.10828025477707007</v>
      </c>
      <c r="X58" s="18">
        <f>IncidenceComplications!X20/IncidenceComplications!$G20</f>
        <v>2.3354564755838639E-2</v>
      </c>
      <c r="Y58" s="140">
        <f t="shared" si="16"/>
        <v>8.4925690021231431E-2</v>
      </c>
      <c r="Z58" s="23">
        <f>ABS(Y58)/SQRT(ABS(Y58)*(1-ABS(Y58))*(1/IncidenceComplications!G20+1/IncidenceComplications!G20))</f>
        <v>4.6750559881010361</v>
      </c>
      <c r="AA58" s="23">
        <f t="shared" si="17"/>
        <v>7.1599126331201959E-6</v>
      </c>
      <c r="AB58" s="18">
        <f>IncidenceComplications!Y20/IncidenceComplications!$W20</f>
        <v>0</v>
      </c>
      <c r="AC58" s="18">
        <f>IncidenceComplications!Z20/IncidenceComplications!$X20</f>
        <v>0</v>
      </c>
      <c r="AD58" s="140">
        <f t="shared" si="18"/>
        <v>0</v>
      </c>
      <c r="AE58" s="23" t="e">
        <f>ABS(AD58)/SQRT(ABS(AD58)*(1-ABS(AD58))*(1/IncidenceComplications!W20+1/IncidenceComplications!X20))</f>
        <v>#DIV/0!</v>
      </c>
      <c r="AF58" s="26" t="e">
        <f t="shared" si="19"/>
        <v>#DIV/0!</v>
      </c>
    </row>
    <row r="59" spans="1:32" x14ac:dyDescent="0.25">
      <c r="A59" s="261"/>
      <c r="B59" s="5" t="s">
        <v>1</v>
      </c>
      <c r="C59" s="4"/>
      <c r="D59" s="133">
        <f>IncidenceComplications!D21/IncidenceComplications!C21</f>
        <v>0.12206799018656532</v>
      </c>
      <c r="E59" s="133">
        <f>IncidenceComplications!E21/IncidenceComplications!D21</f>
        <v>1.2786858988619072E-2</v>
      </c>
      <c r="F59" s="32">
        <f>IncidenceComplications!F21/IncidenceComplications!E21</f>
        <v>0.37415912781257249</v>
      </c>
      <c r="G59" s="133">
        <f>IncidenceComplications!G21/IncidenceComplications!F21</f>
        <v>0.81835089894606328</v>
      </c>
      <c r="H59" s="132">
        <f t="shared" si="21"/>
        <v>3.787878787878788E-3</v>
      </c>
      <c r="I59" s="132">
        <f t="shared" si="27"/>
        <v>0.99621212121212122</v>
      </c>
      <c r="J59" s="132">
        <f t="shared" si="28"/>
        <v>6.0606060606060606E-3</v>
      </c>
      <c r="K59" s="132">
        <f t="shared" si="29"/>
        <v>0.9939393939393939</v>
      </c>
      <c r="L59" s="29"/>
      <c r="M59" s="32">
        <f>IncidenceComplications!M21/IncidenceComplications!$G21</f>
        <v>0.3371212121212121</v>
      </c>
      <c r="N59" s="18">
        <f>IncidenceComplications!N21/IncidenceComplications!$G21</f>
        <v>0.20757575757575758</v>
      </c>
      <c r="O59" s="140">
        <f t="shared" si="20"/>
        <v>0.12954545454545452</v>
      </c>
      <c r="P59" s="23">
        <f>O59^2/((M59+N59/2)*(1-(M59+N59/2))*(1/IncidenceComplications!G21+1/IncidenceComplications!G21))</f>
        <v>44.93210963037464</v>
      </c>
      <c r="Q59" s="26">
        <f t="shared" si="26"/>
        <v>0</v>
      </c>
      <c r="R59" s="32">
        <f>IncidenceComplications!O21/IncidenceComplications!M21</f>
        <v>2.2471910112359553E-3</v>
      </c>
      <c r="S59" s="18">
        <f>IncidenceComplications!P21/IncidenceComplications!N21</f>
        <v>3.6496350364963502E-3</v>
      </c>
      <c r="T59" s="140">
        <f t="shared" si="15"/>
        <v>-1.402444025260395E-3</v>
      </c>
      <c r="U59" s="23">
        <f>ABS(T59)/SQRT(ABS(T59)*(1-ABS(T59))*(1/IncidenceComplications!M21+1/IncidenceComplications!N21))</f>
        <v>0.48802083155662979</v>
      </c>
      <c r="V59" s="23">
        <f t="shared" si="25"/>
        <v>0.35415496789564987</v>
      </c>
      <c r="W59" s="32">
        <f>IncidenceComplications!W21/IncidenceComplications!$G21</f>
        <v>0.12272727272727273</v>
      </c>
      <c r="X59" s="18">
        <f>IncidenceComplications!X21/IncidenceComplications!$G21</f>
        <v>3.1818181818181815E-2</v>
      </c>
      <c r="Y59" s="140">
        <f t="shared" si="16"/>
        <v>9.0909090909090912E-2</v>
      </c>
      <c r="Z59" s="23">
        <f>ABS(Y59)/SQRT(ABS(Y59)*(1-ABS(Y59))*(1/IncidenceComplications!G21+1/IncidenceComplications!G21))</f>
        <v>8.1240384046359591</v>
      </c>
      <c r="AA59" s="23">
        <f t="shared" si="17"/>
        <v>1.8586266628582026E-15</v>
      </c>
      <c r="AB59" s="18">
        <f>IncidenceComplications!Y21/IncidenceComplications!$W21</f>
        <v>0.1111111111111111</v>
      </c>
      <c r="AC59" s="18">
        <f>IncidenceComplications!Z21/IncidenceComplications!$X21</f>
        <v>2.3809523809523808E-2</v>
      </c>
      <c r="AD59" s="140">
        <f t="shared" si="18"/>
        <v>8.7301587301587297E-2</v>
      </c>
      <c r="AE59" s="23">
        <f>ABS(AD59)/SQRT(ABS(AD59)*(1-ABS(AD59))*(1/IncidenceComplications!W21+1/IncidenceComplications!X21))</f>
        <v>1.7861358654714017</v>
      </c>
      <c r="AF59" s="26">
        <f t="shared" si="19"/>
        <v>8.0937405215927516E-2</v>
      </c>
    </row>
    <row r="60" spans="1:32" x14ac:dyDescent="0.25">
      <c r="A60" s="261"/>
      <c r="B60" s="5" t="s">
        <v>2</v>
      </c>
      <c r="C60" s="4"/>
      <c r="D60" s="133">
        <f>IncidenceComplications!D22/IncidenceComplications!C22</f>
        <v>0.11259486372473942</v>
      </c>
      <c r="E60" s="133">
        <f>IncidenceComplications!E22/IncidenceComplications!D22</f>
        <v>8.103296438731096E-3</v>
      </c>
      <c r="F60" s="32">
        <f>IncidenceComplications!F22/IncidenceComplications!E22</f>
        <v>0.37138389366692731</v>
      </c>
      <c r="G60" s="133">
        <f>IncidenceComplications!G22/IncidenceComplications!F22</f>
        <v>0.88947368421052631</v>
      </c>
      <c r="H60" s="132">
        <f t="shared" si="21"/>
        <v>7.100591715976331E-3</v>
      </c>
      <c r="I60" s="132">
        <f t="shared" si="27"/>
        <v>0.99289940828402368</v>
      </c>
      <c r="J60" s="132">
        <f t="shared" si="28"/>
        <v>3.5502958579881655E-3</v>
      </c>
      <c r="K60" s="132">
        <f t="shared" si="29"/>
        <v>0.99644970414201184</v>
      </c>
      <c r="L60" s="29"/>
      <c r="M60" s="32">
        <f>IncidenceComplications!M22/IncidenceComplications!$G22</f>
        <v>0.17751479289940827</v>
      </c>
      <c r="N60" s="18">
        <f>IncidenceComplications!N22/IncidenceComplications!$G22</f>
        <v>7.5739644970414202E-2</v>
      </c>
      <c r="O60" s="140">
        <f t="shared" si="20"/>
        <v>0.10177514792899407</v>
      </c>
      <c r="P60" s="23">
        <f>O60^2/((M60+N60/2)*(1-(M60+N60/2))*(1/IncidenceComplications!G22+1/IncidenceComplications!G22))</f>
        <v>25.89635854341736</v>
      </c>
      <c r="Q60" s="26">
        <f t="shared" si="26"/>
        <v>9.4913155919971539E-147</v>
      </c>
      <c r="R60" s="32">
        <f>IncidenceComplications!O22/IncidenceComplications!M22</f>
        <v>0</v>
      </c>
      <c r="S60" s="18">
        <f>IncidenceComplications!P22/IncidenceComplications!N22</f>
        <v>0</v>
      </c>
      <c r="T60" s="140">
        <f t="shared" si="15"/>
        <v>0</v>
      </c>
      <c r="U60" s="23" t="e">
        <f>ABS(T60)/SQRT(ABS(T60)*(1-ABS(T60))*(1/IncidenceComplications!M22+1/IncidenceComplications!N22))</f>
        <v>#DIV/0!</v>
      </c>
      <c r="V60" s="23" t="e">
        <f t="shared" si="25"/>
        <v>#DIV/0!</v>
      </c>
      <c r="W60" s="32">
        <f>IncidenceComplications!W22/IncidenceComplications!$G22</f>
        <v>8.0473372781065089E-2</v>
      </c>
      <c r="X60" s="18">
        <f>IncidenceComplications!X22/IncidenceComplications!$G22</f>
        <v>1.5384615384615385E-2</v>
      </c>
      <c r="Y60" s="140">
        <f t="shared" si="16"/>
        <v>6.5088757396449703E-2</v>
      </c>
      <c r="Z60" s="23">
        <f>ABS(Y60)/SQRT(ABS(Y60)*(1-ABS(Y60))*(1/IncidenceComplications!G22+1/IncidenceComplications!G22))</f>
        <v>5.4235188726531884</v>
      </c>
      <c r="AA60" s="23">
        <f t="shared" si="17"/>
        <v>1.6353856314309552E-7</v>
      </c>
      <c r="AB60" s="18">
        <f>IncidenceComplications!Y22/IncidenceComplications!$W22</f>
        <v>5.8823529411764705E-2</v>
      </c>
      <c r="AC60" s="18">
        <f>IncidenceComplications!Z22/IncidenceComplications!$X22</f>
        <v>0</v>
      </c>
      <c r="AD60" s="140">
        <f t="shared" si="18"/>
        <v>5.8823529411764705E-2</v>
      </c>
      <c r="AE60" s="23">
        <f>ABS(AD60)/SQRT(ABS(AD60)*(1-ABS(AD60))*(1/IncidenceComplications!W22+1/IncidenceComplications!X22))</f>
        <v>0.82589270818436145</v>
      </c>
      <c r="AF60" s="26">
        <f t="shared" si="19"/>
        <v>0.28365745421822447</v>
      </c>
    </row>
    <row r="61" spans="1:32" x14ac:dyDescent="0.25">
      <c r="A61" s="261"/>
      <c r="B61" s="5" t="s">
        <v>3</v>
      </c>
      <c r="C61" s="4"/>
      <c r="D61" s="133">
        <f>IncidenceComplications!D23/IncidenceComplications!C23</f>
        <v>0.12148387440698609</v>
      </c>
      <c r="E61" s="133">
        <f>IncidenceComplications!E23/IncidenceComplications!D23</f>
        <v>8.114621885727015E-3</v>
      </c>
      <c r="F61" s="32">
        <f>IncidenceComplications!F23/IncidenceComplications!E23</f>
        <v>0.30676368447163882</v>
      </c>
      <c r="G61" s="133">
        <f>IncidenceComplications!G23/IncidenceComplications!F23</f>
        <v>0.89002695417789757</v>
      </c>
      <c r="H61" s="132">
        <f t="shared" si="21"/>
        <v>6.8443367655966078E-2</v>
      </c>
      <c r="I61" s="132">
        <f t="shared" si="27"/>
        <v>0.93155663234403396</v>
      </c>
      <c r="J61" s="132">
        <f t="shared" si="28"/>
        <v>4.3609933373712904E-2</v>
      </c>
      <c r="K61" s="132">
        <f t="shared" si="29"/>
        <v>0.95639006662628712</v>
      </c>
      <c r="L61" s="29"/>
      <c r="M61" s="32">
        <f>IncidenceComplications!M23/IncidenceComplications!$G23</f>
        <v>7.3894609327680189E-2</v>
      </c>
      <c r="N61" s="18">
        <f>IncidenceComplications!N23/IncidenceComplications!$G23</f>
        <v>3.1496062992125984E-2</v>
      </c>
      <c r="O61" s="140">
        <f t="shared" si="20"/>
        <v>4.2398546335554205E-2</v>
      </c>
      <c r="P61" s="23">
        <f>O61^2/((M61+N61/2)*(1-(M61+N61/2))*(1/IncidenceComplications!G23+1/IncidenceComplications!G23))</f>
        <v>18.184127241013467</v>
      </c>
      <c r="Q61" s="26">
        <f t="shared" si="26"/>
        <v>6.2872985595912143E-73</v>
      </c>
      <c r="R61" s="32">
        <f>IncidenceComplications!O23/IncidenceComplications!M23</f>
        <v>0</v>
      </c>
      <c r="S61" s="18">
        <f>IncidenceComplications!P23/IncidenceComplications!N23</f>
        <v>0</v>
      </c>
      <c r="T61" s="140">
        <f t="shared" si="15"/>
        <v>0</v>
      </c>
      <c r="U61" s="23" t="e">
        <f>ABS(T61)/SQRT(ABS(T61)*(1-ABS(T61))*(1/IncidenceComplications!M23+1/IncidenceComplications!N23))</f>
        <v>#DIV/0!</v>
      </c>
      <c r="V61" s="23" t="e">
        <f t="shared" si="25"/>
        <v>#DIV/0!</v>
      </c>
      <c r="W61" s="32">
        <f>IncidenceComplications!W23/IncidenceComplications!$G23</f>
        <v>5.2695336159903086E-2</v>
      </c>
      <c r="X61" s="18">
        <f>IncidenceComplications!X23/IncidenceComplications!$G23</f>
        <v>2.4227740763173833E-3</v>
      </c>
      <c r="Y61" s="140">
        <f t="shared" si="16"/>
        <v>5.0272562083585701E-2</v>
      </c>
      <c r="Z61" s="23">
        <f>ABS(Y61)/SQRT(ABS(Y61)*(1-ABS(Y61))*(1/IncidenceComplications!G23+1/IncidenceComplications!G23))</f>
        <v>6.6103515374735995</v>
      </c>
      <c r="AA61" s="23">
        <f t="shared" si="17"/>
        <v>1.2950362308441835E-10</v>
      </c>
      <c r="AB61" s="18">
        <f>IncidenceComplications!Y23/IncidenceComplications!$W23</f>
        <v>3.4482758620689655E-2</v>
      </c>
      <c r="AC61" s="18">
        <f>IncidenceComplications!Z23/IncidenceComplications!$X23</f>
        <v>0</v>
      </c>
      <c r="AD61" s="140">
        <f t="shared" si="18"/>
        <v>3.4482758620689655E-2</v>
      </c>
      <c r="AE61" s="23">
        <f>ABS(AD61)/SQRT(ABS(AD61)*(1-ABS(AD61))*(1/IncidenceComplications!W23+1/IncidenceComplications!X23))</f>
        <v>0.36956421364396125</v>
      </c>
      <c r="AF61" s="26">
        <f t="shared" si="19"/>
        <v>0.37260835885566662</v>
      </c>
    </row>
    <row r="62" spans="1:32" x14ac:dyDescent="0.25">
      <c r="A62" s="261"/>
      <c r="B62" s="5" t="s">
        <v>4</v>
      </c>
      <c r="C62" s="4"/>
      <c r="D62" s="133">
        <f>IncidenceComplications!D24/IncidenceComplications!C24</f>
        <v>0.13533748755064601</v>
      </c>
      <c r="E62" s="133">
        <f>IncidenceComplications!E24/IncidenceComplications!D24</f>
        <v>9.3335714247257309E-3</v>
      </c>
      <c r="F62" s="32">
        <f>IncidenceComplications!F24/IncidenceComplications!E24</f>
        <v>0.33403835985194441</v>
      </c>
      <c r="G62" s="133">
        <f>IncidenceComplications!G24/IncidenceComplications!F24</f>
        <v>0.9553892646423946</v>
      </c>
      <c r="H62" s="132">
        <f t="shared" si="21"/>
        <v>0.85675553547220962</v>
      </c>
      <c r="I62" s="132">
        <f t="shared" si="27"/>
        <v>0.14324446452779033</v>
      </c>
      <c r="J62" s="132">
        <f t="shared" si="28"/>
        <v>0.79409549630968523</v>
      </c>
      <c r="K62" s="132">
        <f t="shared" si="29"/>
        <v>0.20590450369031479</v>
      </c>
      <c r="L62" s="29"/>
      <c r="M62" s="32">
        <f>IncidenceComplications!M24/IncidenceComplications!$G24</f>
        <v>4.0518150323843954E-2</v>
      </c>
      <c r="N62" s="18">
        <f>IncidenceComplications!N24/IncidenceComplications!$G24</f>
        <v>1.1899382437114024E-2</v>
      </c>
      <c r="O62" s="140">
        <f t="shared" si="20"/>
        <v>2.8618767886729929E-2</v>
      </c>
      <c r="P62" s="23">
        <f>O62^2/((M62+N62/2)*(1-(M62+N62/2))*(1/IncidenceComplications!G24+1/IncidenceComplications!G24))</f>
        <v>61.360189671136247</v>
      </c>
      <c r="Q62" s="26">
        <f t="shared" si="26"/>
        <v>0</v>
      </c>
      <c r="R62" s="32">
        <f>IncidenceComplications!O24/IncidenceComplications!M24</f>
        <v>7.4349442379182153E-3</v>
      </c>
      <c r="S62" s="18">
        <f>IncidenceComplications!P24/IncidenceComplications!N24</f>
        <v>0</v>
      </c>
      <c r="T62" s="140">
        <f t="shared" si="15"/>
        <v>7.4349442379182153E-3</v>
      </c>
      <c r="U62" s="23">
        <f>ABS(T62)/SQRT(ABS(T62)*(1-ABS(T62))*(1/IncidenceComplications!M24+1/IncidenceComplications!N24))</f>
        <v>0.67633121306646971</v>
      </c>
      <c r="V62" s="23">
        <f t="shared" si="25"/>
        <v>0.31738158587526588</v>
      </c>
      <c r="W62" s="32">
        <f>IncidenceComplications!W24/IncidenceComplications!$G24</f>
        <v>2.4401265250790782E-2</v>
      </c>
      <c r="X62" s="18">
        <f>IncidenceComplications!X24/IncidenceComplications!$G24</f>
        <v>3.91625244765778E-3</v>
      </c>
      <c r="Y62" s="140">
        <f t="shared" si="16"/>
        <v>2.0485012803133001E-2</v>
      </c>
      <c r="Z62" s="23">
        <f>ABS(Y62)/SQRT(ABS(Y62)*(1-ABS(Y62))*(1/IncidenceComplications!G24+1/IncidenceComplications!G24))</f>
        <v>8.3319933311892775</v>
      </c>
      <c r="AA62" s="23">
        <f t="shared" si="17"/>
        <v>3.3580703862760342E-16</v>
      </c>
      <c r="AB62" s="18">
        <f>IncidenceComplications!Y24/IncidenceComplications!$W24</f>
        <v>3.0864197530864196E-2</v>
      </c>
      <c r="AC62" s="18">
        <f>IncidenceComplications!Z24/IncidenceComplications!$X24</f>
        <v>3.8461538461538464E-2</v>
      </c>
      <c r="AD62" s="140">
        <f t="shared" si="18"/>
        <v>-7.5973409306742679E-3</v>
      </c>
      <c r="AE62" s="23">
        <f>ABS(AD62)/SQRT(ABS(AD62)*(1-ABS(AD62))*(1/IncidenceComplications!W24+1/IncidenceComplications!X24))</f>
        <v>0.41414469717049579</v>
      </c>
      <c r="AF62" s="26">
        <f t="shared" si="19"/>
        <v>0.36615576514054071</v>
      </c>
    </row>
    <row r="63" spans="1:32" x14ac:dyDescent="0.25">
      <c r="A63" s="261"/>
      <c r="B63" s="5" t="s">
        <v>5</v>
      </c>
      <c r="C63" s="4"/>
      <c r="D63" s="133">
        <f>IncidenceComplications!D25/IncidenceComplications!C25</f>
        <v>0.11809987525830973</v>
      </c>
      <c r="E63" s="133">
        <f>IncidenceComplications!E25/IncidenceComplications!D25</f>
        <v>7.8946245758383209E-3</v>
      </c>
      <c r="F63" s="32">
        <f>IncidenceComplications!F25/IncidenceComplications!E25</f>
        <v>0.34518767343362056</v>
      </c>
      <c r="G63" s="133">
        <f>IncidenceComplications!G25/IncidenceComplications!F25</f>
        <v>0.97144066003807916</v>
      </c>
      <c r="H63" s="132">
        <f t="shared" si="21"/>
        <v>0.94490418118466901</v>
      </c>
      <c r="I63" s="132">
        <f t="shared" si="27"/>
        <v>5.5095818815331009E-2</v>
      </c>
      <c r="J63" s="132">
        <f t="shared" si="28"/>
        <v>0.90341898954703836</v>
      </c>
      <c r="K63" s="132">
        <f t="shared" si="29"/>
        <v>9.6581010452961677E-2</v>
      </c>
      <c r="L63" s="29"/>
      <c r="M63" s="32">
        <f>IncidenceComplications!M25/IncidenceComplications!$G25</f>
        <v>3.4407665505226483E-2</v>
      </c>
      <c r="N63" s="18">
        <f>IncidenceComplications!N25/IncidenceComplications!$G25</f>
        <v>8.3841463414634151E-3</v>
      </c>
      <c r="O63" s="140">
        <f t="shared" si="20"/>
        <v>2.6023519163763068E-2</v>
      </c>
      <c r="P63" s="23">
        <f>O63^2/((M63+N63/2)*(1-(M63+N63/2))*(1/IncidenceComplications!G25+1/IncidenceComplications!G25))</f>
        <v>83.80025320619086</v>
      </c>
      <c r="Q63" s="26">
        <f t="shared" si="26"/>
        <v>0</v>
      </c>
      <c r="R63" s="32">
        <f>IncidenceComplications!O25/IncidenceComplications!M25</f>
        <v>1.8987341772151899E-2</v>
      </c>
      <c r="S63" s="18">
        <f>IncidenceComplications!P25/IncidenceComplications!N25</f>
        <v>0</v>
      </c>
      <c r="T63" s="140">
        <f t="shared" si="15"/>
        <v>1.8987341772151899E-2</v>
      </c>
      <c r="U63" s="23">
        <f>ABS(T63)/SQRT(ABS(T63)*(1-ABS(T63))*(1/IncidenceComplications!M25+1/IncidenceComplications!N25))</f>
        <v>1.0946805632614334</v>
      </c>
      <c r="V63" s="23">
        <f t="shared" si="25"/>
        <v>0.21912754947830337</v>
      </c>
      <c r="W63" s="32">
        <f>IncidenceComplications!W25/IncidenceComplications!$G25</f>
        <v>4.496951219512195E-2</v>
      </c>
      <c r="X63" s="18">
        <f>IncidenceComplications!X25/IncidenceComplications!$G25</f>
        <v>3.8109756097560975E-3</v>
      </c>
      <c r="Y63" s="140">
        <f t="shared" si="16"/>
        <v>4.1158536585365849E-2</v>
      </c>
      <c r="Z63" s="23">
        <f>ABS(Y63)/SQRT(ABS(Y63)*(1-ABS(Y63))*(1/IncidenceComplications!G25+1/IncidenceComplications!G25))</f>
        <v>14.039689369194241</v>
      </c>
      <c r="AA63" s="23">
        <f t="shared" si="17"/>
        <v>6.2862629389791403E-44</v>
      </c>
      <c r="AB63" s="18">
        <f>IncidenceComplications!Y25/IncidenceComplications!$W25</f>
        <v>5.569007263922518E-2</v>
      </c>
      <c r="AC63" s="18">
        <f>IncidenceComplications!Z25/IncidenceComplications!$X25</f>
        <v>0</v>
      </c>
      <c r="AD63" s="140">
        <f t="shared" si="18"/>
        <v>5.569007263922518E-2</v>
      </c>
      <c r="AE63" s="23">
        <f>ABS(AD63)/SQRT(ABS(AD63)*(1-ABS(AD63))*(1/IncidenceComplications!W25+1/IncidenceComplications!X25))</f>
        <v>1.3794363165010741</v>
      </c>
      <c r="AF63" s="26">
        <f t="shared" si="19"/>
        <v>0.15406806266555276</v>
      </c>
    </row>
    <row r="64" spans="1:32" x14ac:dyDescent="0.25">
      <c r="A64" s="261"/>
      <c r="B64" s="6" t="s">
        <v>6</v>
      </c>
      <c r="C64" s="7"/>
      <c r="D64" s="134">
        <f>IncidenceComplications!D26/IncidenceComplications!C26</f>
        <v>7.0664151030263536E-2</v>
      </c>
      <c r="E64" s="134">
        <f>IncidenceComplications!E26/IncidenceComplications!D26</f>
        <v>4.4748010103773644E-3</v>
      </c>
      <c r="F64" s="32">
        <f>IncidenceComplications!F26/IncidenceComplications!E26</f>
        <v>0.37053888809896202</v>
      </c>
      <c r="G64" s="134">
        <f>IncidenceComplications!G26/IncidenceComplications!F26</f>
        <v>0.95587106676899458</v>
      </c>
      <c r="H64" s="132">
        <f t="shared" si="21"/>
        <v>0.95503813729425935</v>
      </c>
      <c r="I64" s="132">
        <f t="shared" si="27"/>
        <v>4.4961862705740666E-2</v>
      </c>
      <c r="J64" s="132">
        <f t="shared" si="28"/>
        <v>0.93617021276595747</v>
      </c>
      <c r="K64" s="132">
        <f t="shared" si="29"/>
        <v>6.3829787234042548E-2</v>
      </c>
      <c r="L64" s="29"/>
      <c r="M64" s="32">
        <f>IncidenceComplications!M26/IncidenceComplications!$G26</f>
        <v>4.4961862705740666E-2</v>
      </c>
      <c r="N64" s="19">
        <f>IncidenceComplications!N26/IncidenceComplications!$G26</f>
        <v>8.4303492573263757E-3</v>
      </c>
      <c r="O64" s="141">
        <f t="shared" si="20"/>
        <v>3.6531513448414293E-2</v>
      </c>
      <c r="P64" s="24">
        <f>O64^2/((M64+N64/2)*(1-(M64+N64/2))*(1/IncidenceComplications!G26+1/IncidenceComplications!G26))</f>
        <v>35.548152839349804</v>
      </c>
      <c r="Q64" s="27">
        <f t="shared" si="26"/>
        <v>1.5783451034842946E-275</v>
      </c>
      <c r="R64" s="32">
        <f>IncidenceComplications!O26/IncidenceComplications!M26</f>
        <v>1.7857142857142856E-2</v>
      </c>
      <c r="S64" s="19">
        <f>IncidenceComplications!P26/IncidenceComplications!N26</f>
        <v>0</v>
      </c>
      <c r="T64" s="141">
        <f t="shared" si="15"/>
        <v>1.7857142857142856E-2</v>
      </c>
      <c r="U64" s="24">
        <f>ABS(T64)/SQRT(ABS(T64)*(1-ABS(T64))*(1/IncidenceComplications!M26+1/IncidenceComplications!N26))</f>
        <v>0.56703712442702459</v>
      </c>
      <c r="V64" s="24">
        <f t="shared" si="25"/>
        <v>0.33969603245343344</v>
      </c>
      <c r="W64" s="33">
        <f>IncidenceComplications!W26/IncidenceComplications!$G26</f>
        <v>8.9923725411481331E-2</v>
      </c>
      <c r="X64" s="19">
        <f>IncidenceComplications!X26/IncidenceComplications!$G26</f>
        <v>1.0437575270975512E-2</v>
      </c>
      <c r="Y64" s="141">
        <f t="shared" si="16"/>
        <v>7.9486150140505821E-2</v>
      </c>
      <c r="Z64" s="24">
        <f>ABS(Y64)/SQRT(ABS(Y64)*(1-ABS(Y64))*(1/IncidenceComplications!G26+1/IncidenceComplications!G26))</f>
        <v>10.370565377732111</v>
      </c>
      <c r="AA64" s="24">
        <f t="shared" si="17"/>
        <v>1.7661297520140312E-24</v>
      </c>
      <c r="AB64" s="19">
        <f>IncidenceComplications!Y26/IncidenceComplications!$W26</f>
        <v>6.6964285714285712E-2</v>
      </c>
      <c r="AC64" s="19">
        <f>IncidenceComplications!Z26/IncidenceComplications!$X26</f>
        <v>7.6923076923076927E-2</v>
      </c>
      <c r="AD64" s="141">
        <f t="shared" si="18"/>
        <v>-9.958791208791215E-3</v>
      </c>
      <c r="AE64" s="24">
        <f>ABS(AD64)/SQRT(ABS(AD64)*(1-ABS(AD64))*(1/IncidenceComplications!W26+1/IncidenceComplications!X26))</f>
        <v>0.48408024148300277</v>
      </c>
      <c r="AF64" s="27">
        <f t="shared" si="19"/>
        <v>0.35483394010414582</v>
      </c>
    </row>
    <row r="65" spans="1:32" ht="15.75" thickBot="1" x14ac:dyDescent="0.3">
      <c r="A65" s="262"/>
      <c r="B65" s="15" t="s">
        <v>14</v>
      </c>
      <c r="C65" s="213"/>
      <c r="D65" s="135">
        <f>IncidenceComplications!D27/IncidenceComplications!C27</f>
        <v>0.10899020249838366</v>
      </c>
      <c r="E65" s="135">
        <f>IncidenceComplications!E27/IncidenceComplications!D27</f>
        <v>7.9969617172760861E-3</v>
      </c>
      <c r="F65" s="34">
        <f>IncidenceComplications!F27/IncidenceComplications!E27</f>
        <v>0.33881109494001782</v>
      </c>
      <c r="G65" s="135">
        <f>IncidenceComplications!G27/IncidenceComplications!F27</f>
        <v>0.94257235799482864</v>
      </c>
      <c r="H65" s="20">
        <f t="shared" si="21"/>
        <v>0.74642714924118403</v>
      </c>
      <c r="I65" s="20">
        <f t="shared" si="27"/>
        <v>0.25357285075881597</v>
      </c>
      <c r="J65" s="20">
        <f t="shared" si="28"/>
        <v>0.70722534401132697</v>
      </c>
      <c r="K65" s="20">
        <f t="shared" si="29"/>
        <v>0.29277465598867308</v>
      </c>
      <c r="L65" s="17"/>
      <c r="M65" s="34">
        <f>IncidenceComplications!M27/IncidenceComplications!$G27</f>
        <v>6.9067740365470559E-2</v>
      </c>
      <c r="N65" s="20">
        <f>IncidenceComplications!N27/IncidenceComplications!$G27</f>
        <v>2.809610194239193E-2</v>
      </c>
      <c r="O65" s="142">
        <f t="shared" si="20"/>
        <v>4.0971638423078632E-2</v>
      </c>
      <c r="P65" s="25">
        <f>O65^2/((M65+N65/2)*(1-(M65+N65/2))*(1/IncidenceComplications!G27+1/IncidenceComplications!G27))</f>
        <v>248.92372153634287</v>
      </c>
      <c r="Q65" s="28">
        <f t="shared" si="26"/>
        <v>0</v>
      </c>
      <c r="R65" s="34">
        <f>IncidenceComplications!O27/IncidenceComplications!M27</f>
        <v>9.6092248558616276E-3</v>
      </c>
      <c r="S65" s="20">
        <f>IncidenceComplications!P27/IncidenceComplications!N27</f>
        <v>1.5748031496062992E-3</v>
      </c>
      <c r="T65" s="142">
        <f t="shared" si="15"/>
        <v>8.0344217062553284E-3</v>
      </c>
      <c r="U65" s="25">
        <f>ABS(T65)/SQRT(ABS(T65)*(1-ABS(T65))*(1/IncidenceComplications!M27+1/IncidenceComplications!N27))</f>
        <v>1.9120584171731625</v>
      </c>
      <c r="V65" s="25">
        <f t="shared" si="25"/>
        <v>6.4124919647908785E-2</v>
      </c>
      <c r="W65" s="34">
        <f>IncidenceComplications!W27/IncidenceComplications!$G27</f>
        <v>5.1634883412238396E-2</v>
      </c>
      <c r="X65" s="20">
        <f>IncidenceComplications!X27/IncidenceComplications!$G27</f>
        <v>6.9465952833945403E-3</v>
      </c>
      <c r="Y65" s="142">
        <f t="shared" si="16"/>
        <v>4.4688288128843859E-2</v>
      </c>
      <c r="Z65" s="25">
        <f>ABS(Y65)/SQRT(ABS(Y65)*(1-ABS(Y65))*(1/IncidenceComplications!G27+1/IncidenceComplications!G27))</f>
        <v>22.991808736040259</v>
      </c>
      <c r="AA65" s="25">
        <f t="shared" si="17"/>
        <v>6.4837417662428492E-116</v>
      </c>
      <c r="AB65" s="129">
        <f>IncidenceComplications!Y27/IncidenceComplications!$W27</f>
        <v>5.8269065981148241E-2</v>
      </c>
      <c r="AC65" s="129">
        <f>IncidenceComplications!Z27/IncidenceComplications!$X27</f>
        <v>2.5477707006369428E-2</v>
      </c>
      <c r="AD65" s="142">
        <f t="shared" si="18"/>
        <v>3.2791358974778813E-2</v>
      </c>
      <c r="AE65" s="25">
        <f>ABS(AD65)/SQRT(ABS(AD65)*(1-ABS(AD65))*(1/IncidenceComplications!W27+1/IncidenceComplications!X27))</f>
        <v>2.1660121355346256</v>
      </c>
      <c r="AF65" s="28">
        <f t="shared" si="19"/>
        <v>3.82067598788342E-2</v>
      </c>
    </row>
    <row r="66" spans="1:32" ht="16.5" thickTop="1" thickBot="1" x14ac:dyDescent="0.3">
      <c r="A66" s="259" t="s">
        <v>14</v>
      </c>
      <c r="B66" s="259"/>
      <c r="C66" s="214"/>
      <c r="D66" s="136">
        <f>IncidenceComplications!D28/IncidenceComplications!C28</f>
        <v>0.10433697817877288</v>
      </c>
      <c r="E66" s="136">
        <f>IncidenceComplications!E28/IncidenceComplications!D28</f>
        <v>1.1681409367379981E-2</v>
      </c>
      <c r="F66" s="127">
        <f>IncidenceComplications!F28/IncidenceComplications!E28</f>
        <v>0.33835680401697199</v>
      </c>
      <c r="G66" s="136">
        <f>IncidenceComplications!G28/IncidenceComplications!F28</f>
        <v>0.95089000000000001</v>
      </c>
      <c r="H66" s="126">
        <f t="shared" si="21"/>
        <v>0.71180683359799768</v>
      </c>
      <c r="I66" s="126">
        <f t="shared" si="27"/>
        <v>0.28819316640200232</v>
      </c>
      <c r="J66" s="126">
        <f t="shared" si="28"/>
        <v>0.6761875716434077</v>
      </c>
      <c r="K66" s="126">
        <f t="shared" si="29"/>
        <v>0.32381242835659224</v>
      </c>
      <c r="L66" s="82"/>
      <c r="M66" s="127">
        <f>IncidenceComplications!M28/IncidenceComplications!$G28</f>
        <v>6.795738728980219E-2</v>
      </c>
      <c r="N66" s="126">
        <f>IncidenceComplications!N28/IncidenceComplications!$G28</f>
        <v>3.5040856460789367E-2</v>
      </c>
      <c r="O66" s="143">
        <f t="shared" si="20"/>
        <v>3.2916530829012823E-2</v>
      </c>
      <c r="P66" s="123">
        <f>O66^2/((M66+N66/2)*(1-(M66+N66/2))*(1/IncidenceComplications!G28+1/IncidenceComplications!G28))</f>
        <v>658.99290593215073</v>
      </c>
      <c r="Q66" s="147">
        <f t="shared" si="26"/>
        <v>0</v>
      </c>
      <c r="R66" s="127">
        <f>IncidenceComplications!O28/IncidenceComplications!M28</f>
        <v>4.487774682760755E-3</v>
      </c>
      <c r="S66" s="126">
        <f>IncidenceComplications!P28/IncidenceComplications!N28</f>
        <v>3.3013205282112846E-3</v>
      </c>
      <c r="T66" s="143">
        <f t="shared" si="15"/>
        <v>1.1864541545494704E-3</v>
      </c>
      <c r="U66" s="123">
        <f>ABS(T66)/SQRT(ABS(T66)*(1-ABS(T66))*(1/IncidenceComplications!M28+1/IncidenceComplications!N28))</f>
        <v>1.6159919472425059</v>
      </c>
      <c r="V66" s="123">
        <f t="shared" si="25"/>
        <v>0.10810486832350245</v>
      </c>
      <c r="W66" s="127">
        <f>IncidenceComplications!W28/IncidenceComplications!$G28</f>
        <v>5.0815551746258771E-2</v>
      </c>
      <c r="X66" s="126">
        <f>IncidenceComplications!X28/IncidenceComplications!$G28</f>
        <v>8.0450945955893947E-3</v>
      </c>
      <c r="Y66" s="143">
        <f t="shared" si="16"/>
        <v>4.2770457150669378E-2</v>
      </c>
      <c r="Z66" s="123">
        <f>ABS(Y66)/SQRT(ABS(Y66)*(1-ABS(Y66))*(1/IncidenceComplications!G28+1/IncidenceComplications!G28))</f>
        <v>46.090778270460582</v>
      </c>
      <c r="AA66" s="123">
        <f t="shared" si="17"/>
        <v>0</v>
      </c>
      <c r="AB66" s="126">
        <f>IncidenceComplications!Y28/IncidenceComplications!$W28</f>
        <v>6.8501655629139069E-2</v>
      </c>
      <c r="AC66" s="126">
        <f>IncidenceComplications!Z28/IncidenceComplications!$X28</f>
        <v>5.4901960784313725E-2</v>
      </c>
      <c r="AD66" s="143">
        <f t="shared" si="18"/>
        <v>1.3599694844825344E-2</v>
      </c>
      <c r="AE66" s="123">
        <f>ABS(AD66)/SQRT(ABS(AD66)*(1-ABS(AD66))*(1/IncidenceComplications!W28+1/IncidenceComplications!X28))</f>
        <v>3.017550241744861</v>
      </c>
      <c r="AF66" s="147">
        <f t="shared" si="19"/>
        <v>4.2038972640526823E-3</v>
      </c>
    </row>
    <row r="67" spans="1:32" x14ac:dyDescent="0.25">
      <c r="A67" s="257" t="s">
        <v>19</v>
      </c>
      <c r="B67" s="5" t="s">
        <v>0</v>
      </c>
      <c r="C67" s="4"/>
      <c r="D67" s="133">
        <f>IncidenceComplications!D29/IncidenceComplications!C29</f>
        <v>0.12280946601941747</v>
      </c>
      <c r="E67" s="133">
        <f>IncidenceComplications!E29/IncidenceComplications!D29</f>
        <v>2.0637383269924404E-2</v>
      </c>
      <c r="F67" s="32">
        <f>IncidenceComplications!F29/IncidenceComplications!E29</f>
        <v>0.18530932771499714</v>
      </c>
      <c r="G67" s="133">
        <f>IncidenceComplications!G29/IncidenceComplications!F29</f>
        <v>0.87493540051679586</v>
      </c>
      <c r="H67" s="128">
        <f t="shared" si="21"/>
        <v>5.9066745422327229E-4</v>
      </c>
      <c r="I67" s="128">
        <f t="shared" si="27"/>
        <v>0.99940933254577669</v>
      </c>
      <c r="J67" s="18">
        <f t="shared" si="28"/>
        <v>5.9066745422327229E-4</v>
      </c>
      <c r="K67" s="18">
        <f t="shared" si="29"/>
        <v>0.99940933254577669</v>
      </c>
      <c r="L67" s="1"/>
      <c r="M67" s="32">
        <f>IncidenceComplications!M29/IncidenceComplications!$G29</f>
        <v>0.2876550502067336</v>
      </c>
      <c r="N67" s="128">
        <f>IncidenceComplications!N29/IncidenceComplications!$G29</f>
        <v>0.14353219137625517</v>
      </c>
      <c r="O67" s="144">
        <f t="shared" si="20"/>
        <v>0.14412285883047843</v>
      </c>
      <c r="P67" s="124">
        <f>O67^2/((M67+N67/2)*(1-(M67+N67/2))*(1/IncidenceComplications!G29+1/IncidenceComplications!G29))</f>
        <v>76.368889631405096</v>
      </c>
      <c r="Q67" s="148">
        <f t="shared" si="26"/>
        <v>0</v>
      </c>
      <c r="R67" s="32">
        <f>IncidenceComplications!O29/IncidenceComplications!M29</f>
        <v>8.2135523613963042E-3</v>
      </c>
      <c r="S67" s="128">
        <f>IncidenceComplications!P29/IncidenceComplications!N29</f>
        <v>0</v>
      </c>
      <c r="T67" s="144">
        <f t="shared" si="15"/>
        <v>8.2135523613963042E-3</v>
      </c>
      <c r="U67" s="124">
        <f>ABS(T67)/SQRT(ABS(T67)*(1-ABS(T67))*(1/IncidenceComplications!M29+1/IncidenceComplications!N29))</f>
        <v>1.1586776174381062</v>
      </c>
      <c r="V67" s="124">
        <f t="shared" si="25"/>
        <v>0.2038837207888225</v>
      </c>
      <c r="W67" s="32">
        <f>IncidenceComplications!W29/IncidenceComplications!$G29</f>
        <v>0.125812167749557</v>
      </c>
      <c r="X67" s="128">
        <f>IncidenceComplications!X29/IncidenceComplications!$G29</f>
        <v>2.5398700531600708E-2</v>
      </c>
      <c r="Y67" s="144">
        <f t="shared" si="16"/>
        <v>0.1004134672179563</v>
      </c>
      <c r="Z67" s="124">
        <f>ABS(Y67)/SQRT(ABS(Y67)*(1-ABS(Y67))*(1/IncidenceComplications!G29+1/IncidenceComplications!G29))</f>
        <v>9.7204862492503299</v>
      </c>
      <c r="AA67" s="124">
        <f t="shared" si="17"/>
        <v>1.21097032379981E-21</v>
      </c>
      <c r="AB67" s="18">
        <f>IncidenceComplications!Y29/IncidenceComplications!$W29</f>
        <v>9.8591549295774641E-2</v>
      </c>
      <c r="AC67" s="18">
        <f>IncidenceComplications!Z29/IncidenceComplications!$X29</f>
        <v>0.11627906976744186</v>
      </c>
      <c r="AD67" s="144">
        <f t="shared" si="18"/>
        <v>-1.7687520471667217E-2</v>
      </c>
      <c r="AE67" s="124">
        <f>ABS(AD67)/SQRT(ABS(AD67)*(1-ABS(AD67))*(1/IncidenceComplications!W29+1/IncidenceComplications!X29))</f>
        <v>0.80262502025606408</v>
      </c>
      <c r="AF67" s="148">
        <f t="shared" si="19"/>
        <v>0.28908283814128988</v>
      </c>
    </row>
    <row r="68" spans="1:32" x14ac:dyDescent="0.25">
      <c r="A68" s="257"/>
      <c r="B68" s="5" t="s">
        <v>1</v>
      </c>
      <c r="C68" s="4"/>
      <c r="D68" s="133">
        <f>IncidenceComplications!D30/IncidenceComplications!C30</f>
        <v>0.11451729720673019</v>
      </c>
      <c r="E68" s="133">
        <f>IncidenceComplications!E30/IncidenceComplications!D30</f>
        <v>2.3113015786977439E-2</v>
      </c>
      <c r="F68" s="32">
        <f>IncidenceComplications!F30/IncidenceComplications!E30</f>
        <v>0.35521253206302678</v>
      </c>
      <c r="G68" s="133">
        <f>IncidenceComplications!G30/IncidenceComplications!F30</f>
        <v>0.81547388781431329</v>
      </c>
      <c r="H68" s="128">
        <f t="shared" si="21"/>
        <v>6.0088551549652121E-3</v>
      </c>
      <c r="I68" s="128">
        <f t="shared" si="27"/>
        <v>0.99399114484503481</v>
      </c>
      <c r="J68" s="18">
        <f t="shared" si="28"/>
        <v>6.1669829222011389E-3</v>
      </c>
      <c r="K68" s="18">
        <f t="shared" si="29"/>
        <v>0.99383301707779881</v>
      </c>
      <c r="L68" s="1"/>
      <c r="M68" s="32">
        <f>IncidenceComplications!M30/IncidenceComplications!$G30</f>
        <v>0.33554712207463633</v>
      </c>
      <c r="N68" s="128">
        <f>IncidenceComplications!N30/IncidenceComplications!$G30</f>
        <v>0.23481973434535106</v>
      </c>
      <c r="O68" s="144">
        <f t="shared" si="20"/>
        <v>0.10072738772928527</v>
      </c>
      <c r="P68" s="124">
        <f>O68^2/((M68+N68/2)*(1-(M68+N68/2))*(1/IncidenceComplications!G30+1/IncidenceComplications!G30))</f>
        <v>129.47280850091116</v>
      </c>
      <c r="Q68" s="148">
        <f t="shared" si="26"/>
        <v>0</v>
      </c>
      <c r="R68" s="32">
        <f>IncidenceComplications!O30/IncidenceComplications!M30</f>
        <v>1.885014137606032E-3</v>
      </c>
      <c r="S68" s="128">
        <f>IncidenceComplications!P30/IncidenceComplications!N30</f>
        <v>2.0202020202020202E-3</v>
      </c>
      <c r="T68" s="144">
        <f t="shared" si="15"/>
        <v>-1.351878825959882E-4</v>
      </c>
      <c r="U68" s="124">
        <f>ABS(T68)/SQRT(ABS(T68)*(1-ABS(T68))*(1/IncidenceComplications!M30+1/IncidenceComplications!N30))</f>
        <v>0.34368540210617027</v>
      </c>
      <c r="V68" s="124">
        <f t="shared" si="25"/>
        <v>0.37606308853317882</v>
      </c>
      <c r="W68" s="32">
        <f>IncidenceComplications!W30/IncidenceComplications!$G30</f>
        <v>0.11480075901328274</v>
      </c>
      <c r="X68" s="128">
        <f>IncidenceComplications!X30/IncidenceComplications!$G30</f>
        <v>3.6843769765970903E-2</v>
      </c>
      <c r="Y68" s="144">
        <f t="shared" si="16"/>
        <v>7.7956989247311842E-2</v>
      </c>
      <c r="Z68" s="124">
        <f>ABS(Y68)/SQRT(ABS(Y68)*(1-ABS(Y68))*(1/IncidenceComplications!G30+1/IncidenceComplications!G30))</f>
        <v>16.350569038162561</v>
      </c>
      <c r="AA68" s="124">
        <f t="shared" si="17"/>
        <v>3.5361127040470894E-59</v>
      </c>
      <c r="AB68" s="18">
        <f>IncidenceComplications!Y30/IncidenceComplications!$W30</f>
        <v>0.1046831955922865</v>
      </c>
      <c r="AC68" s="18">
        <f>IncidenceComplications!Z30/IncidenceComplications!$X30</f>
        <v>6.8669527896995708E-2</v>
      </c>
      <c r="AD68" s="144">
        <f t="shared" si="18"/>
        <v>3.6013667695290796E-2</v>
      </c>
      <c r="AE68" s="124">
        <f>ABS(AD68)/SQRT(ABS(AD68)*(1-ABS(AD68))*(1/IncidenceComplications!W30+1/IncidenceComplications!X30))</f>
        <v>2.5670551884400674</v>
      </c>
      <c r="AF68" s="148">
        <f t="shared" si="19"/>
        <v>1.4789693832513037E-2</v>
      </c>
    </row>
    <row r="69" spans="1:32" x14ac:dyDescent="0.25">
      <c r="A69" s="257"/>
      <c r="B69" s="5" t="s">
        <v>2</v>
      </c>
      <c r="C69" s="4"/>
      <c r="D69" s="133">
        <f>IncidenceComplications!D31/IncidenceComplications!C31</f>
        <v>0.11054815664590752</v>
      </c>
      <c r="E69" s="133">
        <f>IncidenceComplications!E31/IncidenceComplications!D31</f>
        <v>1.6112096158889228E-2</v>
      </c>
      <c r="F69" s="32">
        <f>IncidenceComplications!F31/IncidenceComplications!E31</f>
        <v>0.36269256530475552</v>
      </c>
      <c r="G69" s="133">
        <f>IncidenceComplications!G31/IncidenceComplications!F31</f>
        <v>0.89750692520775621</v>
      </c>
      <c r="H69" s="128">
        <f t="shared" si="21"/>
        <v>8.024691358024692E-3</v>
      </c>
      <c r="I69" s="128">
        <f t="shared" si="27"/>
        <v>0.99197530864197536</v>
      </c>
      <c r="J69" s="18">
        <f t="shared" si="28"/>
        <v>6.9958847736625515E-3</v>
      </c>
      <c r="K69" s="18">
        <f t="shared" si="29"/>
        <v>0.99300411522633747</v>
      </c>
      <c r="L69" s="1"/>
      <c r="M69" s="32">
        <f>IncidenceComplications!M31/IncidenceComplications!$G31</f>
        <v>0.16008230452674896</v>
      </c>
      <c r="N69" s="128">
        <f>IncidenceComplications!N31/IncidenceComplications!$G31</f>
        <v>0.10226337448559671</v>
      </c>
      <c r="O69" s="144">
        <f t="shared" si="20"/>
        <v>5.7818930041152253E-2</v>
      </c>
      <c r="P69" s="124">
        <f>O69^2/((M69+N69/2)*(1-(M69+N69/2))*(1/IncidenceComplications!G31+1/IncidenceComplications!G31))</f>
        <v>48.76008927628105</v>
      </c>
      <c r="Q69" s="148">
        <f t="shared" si="26"/>
        <v>0</v>
      </c>
      <c r="R69" s="32">
        <f>IncidenceComplications!O31/IncidenceComplications!M31</f>
        <v>1.2853470437017994E-3</v>
      </c>
      <c r="S69" s="128">
        <f>IncidenceComplications!P31/IncidenceComplications!N31</f>
        <v>6.0362173038229373E-3</v>
      </c>
      <c r="T69" s="144">
        <f t="shared" si="15"/>
        <v>-4.7508702601211381E-3</v>
      </c>
      <c r="U69" s="124">
        <f>ABS(T69)/SQRT(ABS(T69)*(1-ABS(T69))*(1/IncidenceComplications!M31+1/IncidenceComplications!N31))</f>
        <v>1.2031882512373402</v>
      </c>
      <c r="V69" s="124">
        <f t="shared" si="25"/>
        <v>0.19344355448360315</v>
      </c>
      <c r="W69" s="32">
        <f>IncidenceComplications!W31/IncidenceComplications!$G31</f>
        <v>6.6666666666666666E-2</v>
      </c>
      <c r="X69" s="128">
        <f>IncidenceComplications!X31/IncidenceComplications!$G31</f>
        <v>1.5843621399176954E-2</v>
      </c>
      <c r="Y69" s="144">
        <f t="shared" si="16"/>
        <v>5.0823045267489708E-2</v>
      </c>
      <c r="Z69" s="124">
        <f>ABS(Y69)/SQRT(ABS(Y69)*(1-ABS(Y69))*(1/IncidenceComplications!G31+1/IncidenceComplications!G31))</f>
        <v>11.406696494071763</v>
      </c>
      <c r="AA69" s="124">
        <f t="shared" si="17"/>
        <v>2.2247993008578411E-29</v>
      </c>
      <c r="AB69" s="18">
        <f>IncidenceComplications!Y31/IncidenceComplications!$W31</f>
        <v>6.4814814814814811E-2</v>
      </c>
      <c r="AC69" s="18">
        <f>IncidenceComplications!Z31/IncidenceComplications!$X31</f>
        <v>5.1948051948051951E-2</v>
      </c>
      <c r="AD69" s="144">
        <f t="shared" si="18"/>
        <v>1.286676286676286E-2</v>
      </c>
      <c r="AE69" s="124">
        <f>ABS(AD69)/SQRT(ABS(AD69)*(1-ABS(AD69))*(1/IncidenceComplications!W31+1/IncidenceComplications!X31))</f>
        <v>0.90051809176043418</v>
      </c>
      <c r="AF69" s="148">
        <f t="shared" si="19"/>
        <v>0.26596117220779458</v>
      </c>
    </row>
    <row r="70" spans="1:32" x14ac:dyDescent="0.25">
      <c r="A70" s="257"/>
      <c r="B70" s="5" t="s">
        <v>3</v>
      </c>
      <c r="C70" s="4"/>
      <c r="D70" s="133">
        <f>IncidenceComplications!D32/IncidenceComplications!C32</f>
        <v>0.11820145829456306</v>
      </c>
      <c r="E70" s="133">
        <f>IncidenceComplications!E32/IncidenceComplications!D32</f>
        <v>1.281854586466852E-2</v>
      </c>
      <c r="F70" s="32">
        <f>IncidenceComplications!F32/IncidenceComplications!E32</f>
        <v>0.327147080824992</v>
      </c>
      <c r="G70" s="133">
        <f>IncidenceComplications!G32/IncidenceComplications!F32</f>
        <v>0.9151785714285714</v>
      </c>
      <c r="H70" s="128">
        <f t="shared" si="21"/>
        <v>5.4491374182034501E-2</v>
      </c>
      <c r="I70" s="128">
        <f t="shared" si="27"/>
        <v>0.94550862581796546</v>
      </c>
      <c r="J70" s="18">
        <f t="shared" si="28"/>
        <v>4.3426531826293871E-2</v>
      </c>
      <c r="K70" s="18">
        <f t="shared" si="29"/>
        <v>0.95657346817370614</v>
      </c>
      <c r="L70" s="1"/>
      <c r="M70" s="32">
        <f>IncidenceComplications!M32/IncidenceComplications!$G32</f>
        <v>7.2456870910172513E-2</v>
      </c>
      <c r="N70" s="128">
        <f>IncidenceComplications!N32/IncidenceComplications!$G32</f>
        <v>3.1290898274836408E-2</v>
      </c>
      <c r="O70" s="144">
        <f t="shared" si="20"/>
        <v>4.1165972635336105E-2</v>
      </c>
      <c r="P70" s="124">
        <f>O70^2/((M70+N70/2)*(1-(M70+N70/2))*(1/IncidenceComplications!G32+1/IncidenceComplications!G32))</f>
        <v>88.644343562613543</v>
      </c>
      <c r="Q70" s="148">
        <f t="shared" si="26"/>
        <v>0</v>
      </c>
      <c r="R70" s="32">
        <f>IncidenceComplications!O32/IncidenceComplications!M32</f>
        <v>1.6420361247947454E-3</v>
      </c>
      <c r="S70" s="128">
        <f>IncidenceComplications!P32/IncidenceComplications!N32</f>
        <v>0</v>
      </c>
      <c r="T70" s="144">
        <f t="shared" si="15"/>
        <v>1.6420361247947454E-3</v>
      </c>
      <c r="U70" s="124">
        <f>ABS(T70)/SQRT(ABS(T70)*(1-ABS(T70))*(1/IncidenceComplications!M32+1/IncidenceComplications!N32))</f>
        <v>0.54963766817088888</v>
      </c>
      <c r="V70" s="124">
        <f t="shared" si="25"/>
        <v>0.34301218202437184</v>
      </c>
      <c r="W70" s="32">
        <f>IncidenceComplications!W32/IncidenceComplications!$G32</f>
        <v>4.5806067816775729E-2</v>
      </c>
      <c r="X70" s="128">
        <f>IncidenceComplications!X32/IncidenceComplications!$G32</f>
        <v>5.591909577632362E-3</v>
      </c>
      <c r="Y70" s="144">
        <f t="shared" si="16"/>
        <v>4.0214158239143365E-2</v>
      </c>
      <c r="Z70" s="124">
        <f>ABS(Y70)/SQRT(ABS(Y70)*(1-ABS(Y70))*(1/IncidenceComplications!G32+1/IncidenceComplications!G32))</f>
        <v>13.269549618140886</v>
      </c>
      <c r="AA70" s="124">
        <f t="shared" si="17"/>
        <v>2.3196273769888825E-39</v>
      </c>
      <c r="AB70" s="18">
        <f>IncidenceComplications!Y32/IncidenceComplications!$W32</f>
        <v>3.6363636363636362E-2</v>
      </c>
      <c r="AC70" s="18">
        <f>IncidenceComplications!Z32/IncidenceComplications!$X32</f>
        <v>0</v>
      </c>
      <c r="AD70" s="144">
        <f t="shared" si="18"/>
        <v>3.6363636363636362E-2</v>
      </c>
      <c r="AE70" s="124">
        <f>ABS(AD70)/SQRT(ABS(AD70)*(1-ABS(AD70))*(1/IncidenceComplications!W32+1/IncidenceComplications!X32))</f>
        <v>1.2572292697664622</v>
      </c>
      <c r="AF70" s="148">
        <f t="shared" si="19"/>
        <v>0.18100126630448138</v>
      </c>
    </row>
    <row r="71" spans="1:32" x14ac:dyDescent="0.25">
      <c r="A71" s="257"/>
      <c r="B71" s="5" t="s">
        <v>4</v>
      </c>
      <c r="C71" s="4"/>
      <c r="D71" s="133">
        <f>IncidenceComplications!D33/IncidenceComplications!C33</f>
        <v>0.12813115257767171</v>
      </c>
      <c r="E71" s="133">
        <f>IncidenceComplications!E33/IncidenceComplications!D33</f>
        <v>1.2361711327547367E-2</v>
      </c>
      <c r="F71" s="32">
        <f>IncidenceComplications!F33/IncidenceComplications!E33</f>
        <v>0.33390020484675142</v>
      </c>
      <c r="G71" s="133">
        <f>IncidenceComplications!G33/IncidenceComplications!F33</f>
        <v>0.9668943164718139</v>
      </c>
      <c r="H71" s="128">
        <f t="shared" si="21"/>
        <v>0.85234845763996969</v>
      </c>
      <c r="I71" s="128">
        <f t="shared" si="27"/>
        <v>0.14765154236003034</v>
      </c>
      <c r="J71" s="18">
        <f t="shared" si="28"/>
        <v>0.79380661638533057</v>
      </c>
      <c r="K71" s="18">
        <f t="shared" si="29"/>
        <v>0.20619338361466938</v>
      </c>
      <c r="L71" s="1"/>
      <c r="M71" s="32">
        <f>IncidenceComplications!M33/IncidenceComplications!$G33</f>
        <v>3.6593639011931842E-2</v>
      </c>
      <c r="N71" s="128">
        <f>IncidenceComplications!N33/IncidenceComplications!$G33</f>
        <v>1.3328544634662197E-2</v>
      </c>
      <c r="O71" s="144">
        <f t="shared" si="20"/>
        <v>2.3265094377269646E-2</v>
      </c>
      <c r="P71" s="124">
        <f>O71^2/((M71+N71/2)*(1-(M71+N71/2))*(1/IncidenceComplications!G33+1/IncidenceComplications!G33))</f>
        <v>163.86377359180267</v>
      </c>
      <c r="Q71" s="148">
        <f t="shared" si="26"/>
        <v>0</v>
      </c>
      <c r="R71" s="32">
        <f>IncidenceComplications!O33/IncidenceComplications!M33</f>
        <v>6.5430752453653216E-3</v>
      </c>
      <c r="S71" s="128">
        <f>IncidenceComplications!P33/IncidenceComplications!N33</f>
        <v>5.9880239520958087E-3</v>
      </c>
      <c r="T71" s="144">
        <f t="shared" si="15"/>
        <v>5.5505129326951282E-4</v>
      </c>
      <c r="U71" s="124">
        <f>ABS(T71)/SQRT(ABS(T71)*(1-ABS(T71))*(1/IncidenceComplications!M33+1/IncidenceComplications!N33))</f>
        <v>0.36873670212483878</v>
      </c>
      <c r="V71" s="124">
        <f t="shared" si="25"/>
        <v>0.37272219924903777</v>
      </c>
      <c r="W71" s="32">
        <f>IncidenceComplications!W33/IncidenceComplications!$G33</f>
        <v>2.6258031046729718E-2</v>
      </c>
      <c r="X71" s="128">
        <f>IncidenceComplications!X33/IncidenceComplications!$G33</f>
        <v>2.7535017359032682E-3</v>
      </c>
      <c r="Y71" s="144">
        <f t="shared" si="16"/>
        <v>2.3504529310826451E-2</v>
      </c>
      <c r="Z71" s="124">
        <f>ABS(Y71)/SQRT(ABS(Y71)*(1-ABS(Y71))*(1/IncidenceComplications!G33+1/IncidenceComplications!G33))</f>
        <v>17.366309350277334</v>
      </c>
      <c r="AA71" s="124">
        <f t="shared" si="17"/>
        <v>1.2934685127042468E-66</v>
      </c>
      <c r="AB71" s="18">
        <f>IncidenceComplications!Y33/IncidenceComplications!$W33</f>
        <v>4.5592705167173252E-2</v>
      </c>
      <c r="AC71" s="18">
        <f>IncidenceComplications!Z33/IncidenceComplications!$X33</f>
        <v>5.7971014492753624E-2</v>
      </c>
      <c r="AD71" s="144">
        <f t="shared" si="18"/>
        <v>-1.2378309325580372E-2</v>
      </c>
      <c r="AE71" s="124">
        <f>ABS(AD71)/SQRT(ABS(AD71)*(1-ABS(AD71))*(1/IncidenceComplications!W33+1/IncidenceComplications!X33))</f>
        <v>0.88471958751121482</v>
      </c>
      <c r="AF71" s="148">
        <f t="shared" si="19"/>
        <v>0.26973833825181937</v>
      </c>
    </row>
    <row r="72" spans="1:32" x14ac:dyDescent="0.25">
      <c r="A72" s="257"/>
      <c r="B72" s="5" t="s">
        <v>5</v>
      </c>
      <c r="C72" s="4"/>
      <c r="D72" s="133">
        <f>IncidenceComplications!D34/IncidenceComplications!C34</f>
        <v>0.11316014776018918</v>
      </c>
      <c r="E72" s="133">
        <f>IncidenceComplications!E34/IncidenceComplications!D34</f>
        <v>1.1722071733559349E-2</v>
      </c>
      <c r="F72" s="32">
        <f>IncidenceComplications!F34/IncidenceComplications!E34</f>
        <v>0.34369104427921432</v>
      </c>
      <c r="G72" s="133">
        <f>IncidenceComplications!G34/IncidenceComplications!F34</f>
        <v>0.98186830928193536</v>
      </c>
      <c r="H72" s="128">
        <f t="shared" si="21"/>
        <v>0.93835217930231973</v>
      </c>
      <c r="I72" s="128">
        <f t="shared" si="27"/>
        <v>6.1647820697680301E-2</v>
      </c>
      <c r="J72" s="18">
        <f t="shared" si="28"/>
        <v>0.89577799701500094</v>
      </c>
      <c r="K72" s="18">
        <f t="shared" si="29"/>
        <v>0.10422200298499912</v>
      </c>
      <c r="L72" s="1"/>
      <c r="M72" s="32">
        <f>IncidenceComplications!M34/IncidenceComplications!$G34</f>
        <v>3.0735372239508233E-2</v>
      </c>
      <c r="N72" s="128">
        <f>IncidenceComplications!N34/IncidenceComplications!$G34</f>
        <v>1.0877539146492626E-2</v>
      </c>
      <c r="O72" s="144">
        <f t="shared" si="20"/>
        <v>1.9857833093015607E-2</v>
      </c>
      <c r="P72" s="124">
        <f>O72^2/((M72+N72/2)*(1-(M72+N72/2))*(1/IncidenceComplications!G34+1/IncidenceComplications!G34))</f>
        <v>223.55001672037318</v>
      </c>
      <c r="Q72" s="148">
        <f t="shared" si="26"/>
        <v>0</v>
      </c>
      <c r="R72" s="32">
        <f>IncidenceComplications!O34/IncidenceComplications!M34</f>
        <v>9.0534979423868307E-3</v>
      </c>
      <c r="S72" s="128">
        <f>IncidenceComplications!P34/IncidenceComplications!N34</f>
        <v>6.9767441860465115E-3</v>
      </c>
      <c r="T72" s="144">
        <f t="shared" si="15"/>
        <v>2.0767537563403191E-3</v>
      </c>
      <c r="U72" s="124">
        <f>ABS(T72)/SQRT(ABS(T72)*(1-ABS(T72))*(1/IncidenceComplications!M34+1/IncidenceComplications!N34))</f>
        <v>0.8129865266055013</v>
      </c>
      <c r="V72" s="124">
        <f t="shared" si="25"/>
        <v>0.28667328844987938</v>
      </c>
      <c r="W72" s="32">
        <f>IncidenceComplications!W34/IncidenceComplications!$G34</f>
        <v>4.3307783764640409E-2</v>
      </c>
      <c r="X72" s="128">
        <f>IncidenceComplications!X34/IncidenceComplications!$G34</f>
        <v>5.565252586577623E-3</v>
      </c>
      <c r="Y72" s="144">
        <f t="shared" si="16"/>
        <v>3.7742531178062783E-2</v>
      </c>
      <c r="Z72" s="124">
        <f>ABS(Y72)/SQRT(ABS(Y72)*(1-ABS(Y72))*(1/IncidenceComplications!G34+1/IncidenceComplications!G34))</f>
        <v>27.843496287220542</v>
      </c>
      <c r="AA72" s="124">
        <f t="shared" si="17"/>
        <v>1.8000229855255213E-169</v>
      </c>
      <c r="AB72" s="18">
        <f>IncidenceComplications!Y34/IncidenceComplications!$W34</f>
        <v>5.0817757009345793E-2</v>
      </c>
      <c r="AC72" s="18">
        <f>IncidenceComplications!Z34/IncidenceComplications!$X34</f>
        <v>2.2727272727272728E-2</v>
      </c>
      <c r="AD72" s="144">
        <f t="shared" si="18"/>
        <v>2.8090484282073065E-2</v>
      </c>
      <c r="AE72" s="124">
        <f>ABS(AD72)/SQRT(ABS(AD72)*(1-ABS(AD72))*(1/IncidenceComplications!W34+1/IncidenceComplications!X34))</f>
        <v>2.3737028744460802</v>
      </c>
      <c r="AF72" s="148">
        <f t="shared" si="19"/>
        <v>2.3845227147371206E-2</v>
      </c>
    </row>
    <row r="73" spans="1:32" x14ac:dyDescent="0.25">
      <c r="A73" s="257"/>
      <c r="B73" s="6" t="s">
        <v>6</v>
      </c>
      <c r="C73" s="7"/>
      <c r="D73" s="134">
        <f>IncidenceComplications!D35/IncidenceComplications!C35</f>
        <v>6.7699031570408005E-2</v>
      </c>
      <c r="E73" s="134">
        <f>IncidenceComplications!E35/IncidenceComplications!D35</f>
        <v>5.7178096083949376E-3</v>
      </c>
      <c r="F73" s="33">
        <f>IncidenceComplications!F35/IncidenceComplications!E35</f>
        <v>0.37374054181205157</v>
      </c>
      <c r="G73" s="134">
        <f>IncidenceComplications!G35/IncidenceComplications!F35</f>
        <v>0.96685198783174242</v>
      </c>
      <c r="H73" s="19">
        <f t="shared" si="21"/>
        <v>0.94347401540631437</v>
      </c>
      <c r="I73" s="19">
        <f t="shared" si="27"/>
        <v>5.6525984593685581E-2</v>
      </c>
      <c r="J73" s="19">
        <f t="shared" si="28"/>
        <v>0.92828469133123581</v>
      </c>
      <c r="K73" s="19">
        <f t="shared" si="29"/>
        <v>7.1715308668764244E-2</v>
      </c>
      <c r="L73" s="11"/>
      <c r="M73" s="33">
        <f>IncidenceComplications!M35/IncidenceComplications!$G35</f>
        <v>3.6237387436259087E-2</v>
      </c>
      <c r="N73" s="19">
        <f>IncidenceComplications!N35/IncidenceComplications!$G35</f>
        <v>8.6796137571878047E-3</v>
      </c>
      <c r="O73" s="141">
        <f t="shared" si="20"/>
        <v>2.7557773679071283E-2</v>
      </c>
      <c r="P73" s="24">
        <f>O73^2/((M73+N73/2)*(1-(M73+N73/2))*(1/IncidenceComplications!G35+1/IncidenceComplications!G35))</f>
        <v>89.89919396047874</v>
      </c>
      <c r="Q73" s="27">
        <f t="shared" si="26"/>
        <v>0</v>
      </c>
      <c r="R73" s="33">
        <f>IncidenceComplications!O35/IncidenceComplications!M35</f>
        <v>5.9880239520958087E-3</v>
      </c>
      <c r="S73" s="19">
        <f>IncidenceComplications!P35/IncidenceComplications!N35</f>
        <v>0</v>
      </c>
      <c r="T73" s="141">
        <f t="shared" si="15"/>
        <v>5.9880239520958087E-3</v>
      </c>
      <c r="U73" s="24">
        <f>ABS(T73)/SQRT(ABS(T73)*(1-ABS(T73))*(1/IncidenceComplications!M35+1/IncidenceComplications!N35))</f>
        <v>0.62353956020782753</v>
      </c>
      <c r="V73" s="24">
        <f t="shared" si="25"/>
        <v>0.32846029209828226</v>
      </c>
      <c r="W73" s="33">
        <f>IncidenceComplications!W35/IncidenceComplications!$G35</f>
        <v>8.8315069979385916E-2</v>
      </c>
      <c r="X73" s="19">
        <f>IncidenceComplications!X35/IncidenceComplications!$G35</f>
        <v>8.245633069328415E-3</v>
      </c>
      <c r="Y73" s="141">
        <f t="shared" si="16"/>
        <v>8.0069436910057495E-2</v>
      </c>
      <c r="Z73" s="24">
        <f>ABS(Y73)/SQRT(ABS(Y73)*(1-ABS(Y73))*(1/IncidenceComplications!G35+1/IncidenceComplications!G35))</f>
        <v>20.027911294129488</v>
      </c>
      <c r="AA73" s="24">
        <f t="shared" si="17"/>
        <v>3.1579852574739818E-88</v>
      </c>
      <c r="AB73" s="19">
        <f>IncidenceComplications!Y35/IncidenceComplications!$W35</f>
        <v>0.10073710073710074</v>
      </c>
      <c r="AC73" s="19">
        <f>IncidenceComplications!Z35/IncidenceComplications!$X35</f>
        <v>0.10526315789473684</v>
      </c>
      <c r="AD73" s="141">
        <f t="shared" si="18"/>
        <v>-4.5260571576360986E-3</v>
      </c>
      <c r="AE73" s="24">
        <f>ABS(AD73)/SQRT(ABS(AD73)*(1-ABS(AD73))*(1/IncidenceComplications!W35+1/IncidenceComplications!X35))</f>
        <v>0.56217180981402826</v>
      </c>
      <c r="AF73" s="27">
        <f t="shared" si="19"/>
        <v>0.34063045293390609</v>
      </c>
    </row>
    <row r="74" spans="1:32" ht="15.75" thickBot="1" x14ac:dyDescent="0.3">
      <c r="A74" s="258"/>
      <c r="B74" s="15" t="s">
        <v>14</v>
      </c>
      <c r="C74" s="215"/>
      <c r="D74" s="137">
        <f>IncidenceComplications!D36/IncidenceComplications!C36</f>
        <v>0.10433697817877288</v>
      </c>
      <c r="E74" s="137">
        <f>IncidenceComplications!E36/IncidenceComplications!D36</f>
        <v>1.1681409367379981E-2</v>
      </c>
      <c r="F74" s="130">
        <f>IncidenceComplications!F36/IncidenceComplications!E36</f>
        <v>0.33835680401697199</v>
      </c>
      <c r="G74" s="137">
        <f>IncidenceComplications!G36/IncidenceComplications!F36</f>
        <v>0.95089000000000001</v>
      </c>
      <c r="H74" s="129">
        <f t="shared" si="21"/>
        <v>0.71180683359799768</v>
      </c>
      <c r="I74" s="129">
        <f t="shared" si="27"/>
        <v>0.28819316640200232</v>
      </c>
      <c r="J74" s="129">
        <f t="shared" si="28"/>
        <v>0.6761875716434077</v>
      </c>
      <c r="K74" s="129">
        <f t="shared" si="29"/>
        <v>0.32381242835659224</v>
      </c>
      <c r="L74" s="22"/>
      <c r="M74" s="130">
        <f>IncidenceComplications!M36/IncidenceComplications!$G36</f>
        <v>6.795738728980219E-2</v>
      </c>
      <c r="N74" s="129">
        <f>IncidenceComplications!N36/IncidenceComplications!$G36</f>
        <v>3.5040856460789367E-2</v>
      </c>
      <c r="O74" s="145">
        <f t="shared" si="20"/>
        <v>3.2916530829012823E-2</v>
      </c>
      <c r="P74" s="125">
        <f>O74^2/((M74+N74/2)*(1-(M74+N74/2))*(1/IncidenceComplications!G36+1/IncidenceComplications!G36))</f>
        <v>658.99290593215073</v>
      </c>
      <c r="Q74" s="36">
        <f t="shared" si="26"/>
        <v>0</v>
      </c>
      <c r="R74" s="130">
        <f>IncidenceComplications!O36/IncidenceComplications!M36</f>
        <v>4.487774682760755E-3</v>
      </c>
      <c r="S74" s="129">
        <f>IncidenceComplications!P36/IncidenceComplications!N36</f>
        <v>3.3013205282112846E-3</v>
      </c>
      <c r="T74" s="145">
        <f t="shared" si="15"/>
        <v>1.1864541545494704E-3</v>
      </c>
      <c r="U74" s="125">
        <f>ABS(T74)/SQRT(ABS(T74)*(1-ABS(T74))*(1/IncidenceComplications!M36+1/IncidenceComplications!N36))</f>
        <v>1.6159919472425059</v>
      </c>
      <c r="V74" s="125">
        <f t="shared" si="25"/>
        <v>0.10810486832350245</v>
      </c>
      <c r="W74" s="130">
        <f>IncidenceComplications!W36/IncidenceComplications!$G36</f>
        <v>5.0815551746258771E-2</v>
      </c>
      <c r="X74" s="129">
        <f>IncidenceComplications!X36/IncidenceComplications!$G36</f>
        <v>8.0450945955893947E-3</v>
      </c>
      <c r="Y74" s="145">
        <f t="shared" si="16"/>
        <v>4.2770457150669378E-2</v>
      </c>
      <c r="Z74" s="125">
        <f>ABS(Y74)/SQRT(ABS(Y74)*(1-ABS(Y74))*(1/IncidenceComplications!G36+1/IncidenceComplications!G36))</f>
        <v>46.090778270460582</v>
      </c>
      <c r="AA74" s="125">
        <f t="shared" si="17"/>
        <v>0</v>
      </c>
      <c r="AB74" s="129">
        <f>IncidenceComplications!Y36/IncidenceComplications!$W36</f>
        <v>6.8501655629139069E-2</v>
      </c>
      <c r="AC74" s="129">
        <f>IncidenceComplications!Z36/IncidenceComplications!$X36</f>
        <v>5.4901960784313725E-2</v>
      </c>
      <c r="AD74" s="145">
        <f t="shared" si="18"/>
        <v>1.3599694844825344E-2</v>
      </c>
      <c r="AE74" s="125">
        <f>ABS(AD74)/SQRT(ABS(AD74)*(1-ABS(AD74))*(1/IncidenceComplications!W36+1/IncidenceComplications!X36))</f>
        <v>3.017550241744861</v>
      </c>
      <c r="AF74" s="36">
        <f t="shared" si="19"/>
        <v>4.2038972640526823E-3</v>
      </c>
    </row>
    <row r="75" spans="1:32" ht="15.75" thickTop="1" x14ac:dyDescent="0.25">
      <c r="A75" s="115"/>
    </row>
    <row r="76" spans="1:32" x14ac:dyDescent="0.25">
      <c r="A76" s="115"/>
    </row>
    <row r="77" spans="1:32" x14ac:dyDescent="0.25">
      <c r="A77" s="115"/>
    </row>
    <row r="78" spans="1:32" x14ac:dyDescent="0.25">
      <c r="A78" s="5"/>
    </row>
    <row r="79" spans="1:32" x14ac:dyDescent="0.25">
      <c r="A79" s="6" t="s">
        <v>7</v>
      </c>
      <c r="B79" s="53" t="s">
        <v>8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 t="s">
        <v>87</v>
      </c>
      <c r="P79" s="6" t="s">
        <v>45</v>
      </c>
      <c r="Q79" s="6" t="s">
        <v>86</v>
      </c>
      <c r="Y79" s="6" t="s">
        <v>87</v>
      </c>
      <c r="Z79" s="6" t="s">
        <v>45</v>
      </c>
      <c r="AA79" s="6" t="s">
        <v>86</v>
      </c>
    </row>
    <row r="80" spans="1:32" x14ac:dyDescent="0.25">
      <c r="A80" s="251" t="s">
        <v>72</v>
      </c>
      <c r="B80" s="5" t="s">
        <v>0</v>
      </c>
      <c r="O80" s="21">
        <f>O42-O50</f>
        <v>3.0036947754973287E-2</v>
      </c>
      <c r="P80" s="26">
        <f>SQRT((O42*(1-O42))/G4+(O50*(1-O50))/G12)</f>
        <v>2.0437795628992412E-2</v>
      </c>
      <c r="Q80" s="26">
        <f>_xlfn.CHISQ.DIST.RT(P80,1)</f>
        <v>0.88632112557289799</v>
      </c>
      <c r="Y80" s="21">
        <f>Y42-Y50</f>
        <v>1.1568702548043319E-2</v>
      </c>
      <c r="Z80" s="26">
        <f t="shared" ref="Z80:Z95" si="30">SQRT((Y42*(1-Y42))/G4+(Y50*(1-Y50))/G12)</f>
        <v>1.8274144293607471E-2</v>
      </c>
      <c r="AA80" s="26">
        <f>_xlfn.CHISQ.DIST.RT(Z80,1)</f>
        <v>0.89246806267940859</v>
      </c>
    </row>
    <row r="81" spans="1:27" ht="15" customHeight="1" x14ac:dyDescent="0.25">
      <c r="A81" s="252"/>
      <c r="B81" s="5" t="s">
        <v>1</v>
      </c>
      <c r="O81" s="21">
        <f t="shared" ref="O81:O95" si="31">O43-O51</f>
        <v>2.0818413745683828E-2</v>
      </c>
      <c r="P81" s="26">
        <f t="shared" ref="P81:P95" si="32">SQRT((O43*(1-O43))/G5+(O51*(1-O51))/G13)</f>
        <v>9.241548139589351E-3</v>
      </c>
      <c r="Q81" s="26">
        <f t="shared" ref="Q81:Q95" si="33">_xlfn.CHISQ.DIST.RT(P81,1)</f>
        <v>0.92341496538489176</v>
      </c>
      <c r="R81" s="240"/>
      <c r="S81" s="240"/>
      <c r="T81" s="240"/>
      <c r="U81" s="227"/>
      <c r="Y81" s="21">
        <f t="shared" ref="Y81:Y95" si="34">Y43-Y51</f>
        <v>-1.6305528106436623E-2</v>
      </c>
      <c r="Z81" s="26">
        <f t="shared" si="30"/>
        <v>7.7274428064854237E-3</v>
      </c>
      <c r="AA81" s="26">
        <f t="shared" ref="AA81:AA95" si="35">_xlfn.CHISQ.DIST.RT(Z81,1)</f>
        <v>0.92995148734896738</v>
      </c>
    </row>
    <row r="82" spans="1:27" ht="15" customHeight="1" x14ac:dyDescent="0.25">
      <c r="A82" s="252"/>
      <c r="B82" s="5" t="s">
        <v>2</v>
      </c>
      <c r="O82" s="21">
        <f t="shared" si="31"/>
        <v>-6.5262235812552083E-4</v>
      </c>
      <c r="P82" s="26">
        <f t="shared" si="32"/>
        <v>7.5803944960601798E-3</v>
      </c>
      <c r="Q82" s="26">
        <f t="shared" si="33"/>
        <v>0.9306194792416993</v>
      </c>
      <c r="R82" s="71"/>
      <c r="S82" s="239"/>
      <c r="T82" s="124"/>
      <c r="U82" s="148"/>
      <c r="Y82" s="21">
        <f t="shared" si="34"/>
        <v>2.163964903558302E-2</v>
      </c>
      <c r="Z82" s="26">
        <f t="shared" si="30"/>
        <v>8.2313558217319491E-3</v>
      </c>
      <c r="AA82" s="26">
        <f t="shared" si="35"/>
        <v>0.92770965943399253</v>
      </c>
    </row>
    <row r="83" spans="1:27" x14ac:dyDescent="0.25">
      <c r="A83" s="252"/>
      <c r="B83" s="5" t="s">
        <v>3</v>
      </c>
      <c r="O83" s="21">
        <f t="shared" si="31"/>
        <v>8.420752917321174E-3</v>
      </c>
      <c r="P83" s="26">
        <f t="shared" si="32"/>
        <v>5.4533127276625119E-3</v>
      </c>
      <c r="Q83" s="26">
        <f t="shared" si="33"/>
        <v>0.94113248775241776</v>
      </c>
      <c r="R83" s="71"/>
      <c r="S83" s="239"/>
      <c r="T83" s="124"/>
      <c r="U83" s="148"/>
      <c r="Y83" s="21">
        <f t="shared" si="34"/>
        <v>1.9203126928066645E-2</v>
      </c>
      <c r="Z83" s="26">
        <f t="shared" si="30"/>
        <v>5.5185134028073127E-3</v>
      </c>
      <c r="AA83" s="26">
        <f t="shared" si="35"/>
        <v>0.94078226176262536</v>
      </c>
    </row>
    <row r="84" spans="1:27" x14ac:dyDescent="0.25">
      <c r="A84" s="252"/>
      <c r="B84" s="5" t="s">
        <v>4</v>
      </c>
      <c r="O84" s="21">
        <f t="shared" si="31"/>
        <v>1.6915112034434285E-3</v>
      </c>
      <c r="P84" s="26">
        <f t="shared" si="32"/>
        <v>2.2445424638162905E-3</v>
      </c>
      <c r="Q84" s="26">
        <f t="shared" si="33"/>
        <v>0.9622130765814243</v>
      </c>
      <c r="R84" s="71"/>
      <c r="S84" s="239"/>
      <c r="T84" s="124"/>
      <c r="U84" s="148"/>
      <c r="Y84" s="21">
        <f t="shared" si="34"/>
        <v>8.1839241155212163E-3</v>
      </c>
      <c r="Z84" s="26">
        <f t="shared" si="30"/>
        <v>2.4857895467078712E-3</v>
      </c>
      <c r="AA84" s="26">
        <f t="shared" si="35"/>
        <v>0.96023579147904636</v>
      </c>
    </row>
    <row r="85" spans="1:27" x14ac:dyDescent="0.25">
      <c r="A85" s="252"/>
      <c r="B85" s="5" t="s">
        <v>5</v>
      </c>
      <c r="O85" s="21">
        <f t="shared" si="31"/>
        <v>3.6013297755871018E-3</v>
      </c>
      <c r="P85" s="26">
        <f t="shared" si="32"/>
        <v>1.7058656322502554E-3</v>
      </c>
      <c r="Q85" s="26">
        <f t="shared" si="33"/>
        <v>0.96705503802107362</v>
      </c>
      <c r="R85" s="71"/>
      <c r="S85" s="239"/>
      <c r="T85" s="124"/>
      <c r="U85" s="148"/>
      <c r="Y85" s="21">
        <f t="shared" si="34"/>
        <v>3.0799552238523695E-3</v>
      </c>
      <c r="Z85" s="26">
        <f t="shared" si="30"/>
        <v>2.36413665234149E-3</v>
      </c>
      <c r="AA85" s="26">
        <f t="shared" si="35"/>
        <v>0.96122022771279803</v>
      </c>
    </row>
    <row r="86" spans="1:27" x14ac:dyDescent="0.25">
      <c r="A86" s="252"/>
      <c r="B86" s="6" t="s">
        <v>6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242">
        <f t="shared" si="31"/>
        <v>9.5336261374448159E-3</v>
      </c>
      <c r="P86" s="27">
        <f t="shared" si="32"/>
        <v>4.0758689398497899E-3</v>
      </c>
      <c r="Q86" s="27">
        <f t="shared" si="33"/>
        <v>0.9490956113793273</v>
      </c>
      <c r="R86" s="71"/>
      <c r="S86" s="239"/>
      <c r="T86" s="124"/>
      <c r="U86" s="148"/>
      <c r="Y86" s="242">
        <f t="shared" si="34"/>
        <v>4.454274868157887E-3</v>
      </c>
      <c r="Z86" s="27">
        <f t="shared" si="30"/>
        <v>6.9134992148928206E-3</v>
      </c>
      <c r="AA86" s="27">
        <f t="shared" si="35"/>
        <v>0.93373429309828004</v>
      </c>
    </row>
    <row r="87" spans="1:27" ht="15.75" thickBot="1" x14ac:dyDescent="0.3">
      <c r="A87" s="253"/>
      <c r="B87" s="67" t="s">
        <v>14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241">
        <f t="shared" si="31"/>
        <v>5.1617426027584998E-3</v>
      </c>
      <c r="P87" s="36">
        <f t="shared" si="32"/>
        <v>1.397383407856364E-3</v>
      </c>
      <c r="Q87" s="36">
        <f t="shared" si="33"/>
        <v>0.97018075000196446</v>
      </c>
      <c r="R87" s="71"/>
      <c r="S87" s="239"/>
      <c r="T87" s="124"/>
      <c r="U87" s="148"/>
      <c r="Y87" s="241">
        <f t="shared" si="34"/>
        <v>6.0448657024311306E-3</v>
      </c>
      <c r="Z87" s="36">
        <f t="shared" si="30"/>
        <v>1.6283483062387101E-3</v>
      </c>
      <c r="AA87" s="36">
        <f t="shared" si="35"/>
        <v>0.96781186131297636</v>
      </c>
    </row>
    <row r="88" spans="1:27" ht="15.75" thickTop="1" x14ac:dyDescent="0.25">
      <c r="A88" s="254" t="s">
        <v>73</v>
      </c>
      <c r="B88" s="5" t="s">
        <v>0</v>
      </c>
      <c r="O88" s="21">
        <f t="shared" si="31"/>
        <v>-4.44038410090902E-2</v>
      </c>
      <c r="P88" s="26">
        <f t="shared" si="32"/>
        <v>2.1007331657720629E-2</v>
      </c>
      <c r="Q88" s="26">
        <f t="shared" si="33"/>
        <v>0.88475898513319118</v>
      </c>
      <c r="R88" s="71"/>
      <c r="S88" s="239"/>
      <c r="T88" s="124"/>
      <c r="U88" s="148"/>
      <c r="Y88" s="21">
        <f t="shared" si="34"/>
        <v>1.6950985581985739E-2</v>
      </c>
      <c r="Z88" s="26">
        <f t="shared" si="30"/>
        <v>1.6960178610372651E-2</v>
      </c>
      <c r="AA88" s="26">
        <f t="shared" si="35"/>
        <v>0.89638347077899039</v>
      </c>
    </row>
    <row r="89" spans="1:27" ht="15.75" customHeight="1" x14ac:dyDescent="0.25">
      <c r="A89" s="252"/>
      <c r="B89" s="5" t="s">
        <v>1</v>
      </c>
      <c r="O89" s="21">
        <f t="shared" si="31"/>
        <v>-4.280193869531046E-2</v>
      </c>
      <c r="P89" s="26">
        <f t="shared" si="32"/>
        <v>1.0404640612993614E-2</v>
      </c>
      <c r="Q89" s="26">
        <f t="shared" si="33"/>
        <v>0.91875418255893193</v>
      </c>
      <c r="R89" s="71"/>
      <c r="S89" s="239"/>
      <c r="T89" s="124"/>
      <c r="U89" s="148"/>
      <c r="Y89" s="21">
        <f t="shared" si="34"/>
        <v>-1.1370186009955457E-2</v>
      </c>
      <c r="Z89" s="26">
        <f t="shared" si="30"/>
        <v>9.149221854766092E-3</v>
      </c>
      <c r="AA89" s="26">
        <f t="shared" si="35"/>
        <v>0.9237973100998258</v>
      </c>
    </row>
    <row r="90" spans="1:27" ht="15.75" customHeight="1" x14ac:dyDescent="0.25">
      <c r="A90" s="252"/>
      <c r="B90" s="5" t="s">
        <v>2</v>
      </c>
      <c r="O90" s="21">
        <f t="shared" si="31"/>
        <v>-5.3028151705169835E-2</v>
      </c>
      <c r="P90" s="26">
        <f t="shared" si="32"/>
        <v>1.1140211250577599E-2</v>
      </c>
      <c r="Q90" s="26">
        <f t="shared" si="33"/>
        <v>0.91594161959981268</v>
      </c>
      <c r="R90" s="71"/>
      <c r="S90" s="239"/>
      <c r="T90" s="124"/>
      <c r="U90" s="148"/>
      <c r="Y90" s="21">
        <f t="shared" si="34"/>
        <v>-2.3207535288657044E-2</v>
      </c>
      <c r="Z90" s="26">
        <f t="shared" si="30"/>
        <v>9.262270805735287E-3</v>
      </c>
      <c r="AA90" s="26">
        <f t="shared" si="35"/>
        <v>0.92332941321076312</v>
      </c>
    </row>
    <row r="91" spans="1:27" x14ac:dyDescent="0.25">
      <c r="A91" s="252"/>
      <c r="B91" s="5" t="s">
        <v>3</v>
      </c>
      <c r="O91" s="21">
        <f t="shared" si="31"/>
        <v>-4.0673307489383706E-3</v>
      </c>
      <c r="P91" s="26">
        <f t="shared" si="32"/>
        <v>5.6919356709840482E-3</v>
      </c>
      <c r="Q91" s="26">
        <f t="shared" si="33"/>
        <v>0.93986072152473721</v>
      </c>
      <c r="R91" s="71"/>
      <c r="S91" s="239"/>
      <c r="T91" s="124"/>
      <c r="U91" s="148"/>
      <c r="Y91" s="21">
        <f t="shared" si="34"/>
        <v>-1.8294586649447622E-2</v>
      </c>
      <c r="Z91" s="26">
        <f t="shared" si="30"/>
        <v>5.956051018411848E-3</v>
      </c>
      <c r="AA91" s="26">
        <f t="shared" si="35"/>
        <v>0.93848396662626421</v>
      </c>
    </row>
    <row r="92" spans="1:27" x14ac:dyDescent="0.25">
      <c r="A92" s="252"/>
      <c r="B92" s="5" t="s">
        <v>4</v>
      </c>
      <c r="O92" s="21">
        <f t="shared" si="31"/>
        <v>-7.8894337637076747E-3</v>
      </c>
      <c r="P92" s="26">
        <f t="shared" si="32"/>
        <v>2.4299957915153406E-3</v>
      </c>
      <c r="Q92" s="26">
        <f t="shared" si="33"/>
        <v>0.96068421406795179</v>
      </c>
      <c r="R92" s="71"/>
      <c r="S92" s="239"/>
      <c r="T92" s="124"/>
      <c r="U92" s="148"/>
      <c r="Y92" s="21">
        <f t="shared" si="34"/>
        <v>1.175026117249435E-3</v>
      </c>
      <c r="Z92" s="26">
        <f t="shared" si="30"/>
        <v>2.1943791331842113E-3</v>
      </c>
      <c r="AA92" s="26">
        <f t="shared" si="35"/>
        <v>0.96263740066726311</v>
      </c>
    </row>
    <row r="93" spans="1:27" x14ac:dyDescent="0.25">
      <c r="A93" s="252"/>
      <c r="B93" s="5" t="s">
        <v>5</v>
      </c>
      <c r="O93" s="21">
        <f t="shared" si="31"/>
        <v>-9.1563956791686912E-3</v>
      </c>
      <c r="P93" s="26">
        <f t="shared" si="32"/>
        <v>1.8853215664752195E-3</v>
      </c>
      <c r="Q93" s="26">
        <f t="shared" si="33"/>
        <v>0.96536650402945956</v>
      </c>
      <c r="R93" s="71"/>
      <c r="S93" s="239"/>
      <c r="T93" s="124"/>
      <c r="U93" s="148"/>
      <c r="Y93" s="21">
        <f t="shared" si="34"/>
        <v>-5.4117351094925409E-3</v>
      </c>
      <c r="Z93" s="26">
        <f t="shared" si="30"/>
        <v>2.4390114357506357E-3</v>
      </c>
      <c r="AA93" s="26">
        <f t="shared" si="35"/>
        <v>0.96061140706390913</v>
      </c>
    </row>
    <row r="94" spans="1:27" x14ac:dyDescent="0.25">
      <c r="A94" s="252"/>
      <c r="B94" s="6" t="s">
        <v>6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242">
        <f t="shared" si="31"/>
        <v>-1.5811004854112434E-2</v>
      </c>
      <c r="P94" s="27">
        <f t="shared" si="32"/>
        <v>4.3482659542367699E-3</v>
      </c>
      <c r="Q94" s="27">
        <f t="shared" si="33"/>
        <v>0.94742449362004699</v>
      </c>
      <c r="R94" s="71"/>
      <c r="S94" s="239"/>
      <c r="T94" s="124"/>
      <c r="U94" s="148"/>
      <c r="Y94" s="242">
        <f t="shared" si="34"/>
        <v>-8.4240161213285092E-4</v>
      </c>
      <c r="Z94" s="27">
        <f t="shared" si="30"/>
        <v>6.8142631230681556E-3</v>
      </c>
      <c r="AA94" s="27">
        <f t="shared" si="35"/>
        <v>0.93421051264474431</v>
      </c>
    </row>
    <row r="95" spans="1:27" ht="15.75" thickBot="1" x14ac:dyDescent="0.3">
      <c r="A95" s="253"/>
      <c r="B95" s="67" t="s">
        <v>14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241">
        <f t="shared" si="31"/>
        <v>-1.2254383472888007E-2</v>
      </c>
      <c r="P95" s="36">
        <f t="shared" si="32"/>
        <v>1.5199614902758596E-3</v>
      </c>
      <c r="Q95" s="36">
        <f t="shared" si="33"/>
        <v>0.96890100557080439</v>
      </c>
      <c r="R95" s="71"/>
      <c r="S95" s="239"/>
      <c r="T95" s="124"/>
      <c r="U95" s="148"/>
      <c r="Y95" s="241">
        <f t="shared" si="34"/>
        <v>-4.4923302720816724E-3</v>
      </c>
      <c r="Z95" s="36">
        <f t="shared" si="30"/>
        <v>1.6369835612908563E-3</v>
      </c>
      <c r="AA95" s="36">
        <f t="shared" si="35"/>
        <v>0.96772667252861988</v>
      </c>
    </row>
    <row r="96" spans="1:27" ht="15.75" thickTop="1" x14ac:dyDescent="0.25">
      <c r="A96" s="254" t="s">
        <v>74</v>
      </c>
      <c r="B96" s="234" t="s">
        <v>0</v>
      </c>
      <c r="O96" s="21">
        <f>O42-O58</f>
        <v>-1.4366893254116914E-2</v>
      </c>
      <c r="P96" s="23">
        <f>SQRT((O42*(1-O42))/G4+(O58*(1-O58))/G20)</f>
        <v>2.3857024397823043E-2</v>
      </c>
      <c r="Q96" s="26">
        <f>_xlfn.CHISQ.DIST.RT(P96,1)</f>
        <v>0.87724926133600722</v>
      </c>
      <c r="R96" s="71"/>
      <c r="S96" s="239"/>
      <c r="T96" s="124"/>
      <c r="U96" s="148"/>
      <c r="Y96" s="21">
        <f>Y42-Y58</f>
        <v>2.8519688130029058E-2</v>
      </c>
      <c r="Z96" s="23">
        <f t="shared" ref="Z96:Z103" si="36">SQRT((Y42*(1-Y42))/G4+(Y58*(1-Y58))/G20)</f>
        <v>1.9398184077428771E-2</v>
      </c>
      <c r="AA96" s="26">
        <f>_xlfn.CHISQ.DIST.RT(Z96,1)</f>
        <v>0.88923097656931427</v>
      </c>
    </row>
    <row r="97" spans="1:27" ht="15.75" customHeight="1" x14ac:dyDescent="0.25">
      <c r="A97" s="252"/>
      <c r="B97" s="5" t="s">
        <v>1</v>
      </c>
      <c r="O97" s="21">
        <f t="shared" ref="O97:O103" si="37">O43-O59</f>
        <v>-2.1983524949626632E-2</v>
      </c>
      <c r="P97" s="23">
        <f t="shared" ref="P97:P103" si="38">SQRT((O43*(1-O43))/G5+(O59*(1-O59))/G21)</f>
        <v>1.2165662627794496E-2</v>
      </c>
      <c r="Q97" s="26">
        <f t="shared" ref="Q97:Q103" si="39">_xlfn.CHISQ.DIST.RT(P97,1)</f>
        <v>0.91217299365986404</v>
      </c>
      <c r="R97" s="71"/>
      <c r="S97" s="239"/>
      <c r="T97" s="124"/>
      <c r="U97" s="148"/>
      <c r="Y97" s="21">
        <f t="shared" ref="Y97:Y103" si="40">Y43-Y59</f>
        <v>-2.7675714116392081E-2</v>
      </c>
      <c r="Z97" s="23">
        <f t="shared" si="36"/>
        <v>1.0061026054203922E-2</v>
      </c>
      <c r="AA97" s="26">
        <f t="shared" ref="AA97:AA103" si="41">_xlfn.CHISQ.DIST.RT(Z97,1)</f>
        <v>0.92010245311462602</v>
      </c>
    </row>
    <row r="98" spans="1:27" ht="15.75" customHeight="1" x14ac:dyDescent="0.25">
      <c r="A98" s="252"/>
      <c r="B98" s="5" t="s">
        <v>2</v>
      </c>
      <c r="O98" s="21">
        <f t="shared" si="37"/>
        <v>-5.3680774063295356E-2</v>
      </c>
      <c r="P98" s="23">
        <f t="shared" si="38"/>
        <v>1.2236404455226866E-2</v>
      </c>
      <c r="Q98" s="26">
        <f t="shared" si="39"/>
        <v>0.91191904900911336</v>
      </c>
      <c r="R98" s="71"/>
      <c r="S98" s="239"/>
      <c r="T98" s="124"/>
      <c r="U98" s="148"/>
      <c r="Y98" s="21">
        <f t="shared" si="40"/>
        <v>-1.5678862530740245E-3</v>
      </c>
      <c r="Z98" s="23">
        <f t="shared" si="36"/>
        <v>1.1224725390642221E-2</v>
      </c>
      <c r="AA98" s="26">
        <f t="shared" si="41"/>
        <v>0.91562455836746137</v>
      </c>
    </row>
    <row r="99" spans="1:27" x14ac:dyDescent="0.25">
      <c r="A99" s="252"/>
      <c r="B99" s="5" t="s">
        <v>3</v>
      </c>
      <c r="O99" s="21">
        <f t="shared" si="37"/>
        <v>4.3534221683828034E-3</v>
      </c>
      <c r="P99" s="23">
        <f t="shared" si="38"/>
        <v>6.820843324327943E-3</v>
      </c>
      <c r="Q99" s="26">
        <f t="shared" si="39"/>
        <v>0.93417882758180859</v>
      </c>
      <c r="R99" s="71"/>
      <c r="S99" s="239"/>
      <c r="T99" s="124"/>
      <c r="U99" s="148"/>
      <c r="Y99" s="21">
        <f t="shared" si="40"/>
        <v>9.0854027861902303E-4</v>
      </c>
      <c r="Z99" s="23">
        <f t="shared" si="36"/>
        <v>7.2675581263007411E-3</v>
      </c>
      <c r="AA99" s="26">
        <f t="shared" si="41"/>
        <v>0.93206266136708382</v>
      </c>
    </row>
    <row r="100" spans="1:27" x14ac:dyDescent="0.25">
      <c r="A100" s="252"/>
      <c r="B100" s="5" t="s">
        <v>4</v>
      </c>
      <c r="O100" s="21">
        <f t="shared" si="37"/>
        <v>-6.1979225602642463E-3</v>
      </c>
      <c r="P100" s="23">
        <f t="shared" si="38"/>
        <v>2.7400303703045007E-3</v>
      </c>
      <c r="Q100" s="26">
        <f t="shared" si="39"/>
        <v>0.95825355905962672</v>
      </c>
      <c r="R100" s="71"/>
      <c r="S100" s="239"/>
      <c r="T100" s="124"/>
      <c r="U100" s="148"/>
      <c r="Y100" s="21">
        <f t="shared" si="40"/>
        <v>9.3589502327706513E-3</v>
      </c>
      <c r="Z100" s="23">
        <f t="shared" si="36"/>
        <v>2.721864894828176E-3</v>
      </c>
      <c r="AA100" s="26">
        <f t="shared" si="41"/>
        <v>0.95839204565336666</v>
      </c>
    </row>
    <row r="101" spans="1:27" x14ac:dyDescent="0.25">
      <c r="A101" s="252"/>
      <c r="B101" s="5" t="s">
        <v>5</v>
      </c>
      <c r="O101" s="21">
        <f t="shared" si="37"/>
        <v>-5.5550659035815894E-3</v>
      </c>
      <c r="P101" s="23">
        <f t="shared" si="38"/>
        <v>2.2079863734416325E-3</v>
      </c>
      <c r="Q101" s="26">
        <f t="shared" si="39"/>
        <v>0.96252182281848608</v>
      </c>
      <c r="R101" s="71"/>
      <c r="S101" s="239"/>
      <c r="T101" s="124"/>
      <c r="U101" s="148"/>
      <c r="Y101" s="21">
        <f t="shared" si="40"/>
        <v>-2.3317798856401714E-3</v>
      </c>
      <c r="Z101" s="23">
        <f t="shared" si="36"/>
        <v>2.869591148768232E-3</v>
      </c>
      <c r="AA101" s="26">
        <f t="shared" si="41"/>
        <v>0.95727890208770861</v>
      </c>
    </row>
    <row r="102" spans="1:27" x14ac:dyDescent="0.25">
      <c r="A102" s="252"/>
      <c r="B102" s="6" t="s">
        <v>6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242">
        <f t="shared" si="37"/>
        <v>-6.2773787166676177E-3</v>
      </c>
      <c r="P102" s="24">
        <f t="shared" si="38"/>
        <v>5.0955464747145067E-3</v>
      </c>
      <c r="Q102" s="27">
        <f t="shared" si="39"/>
        <v>0.94309286227763256</v>
      </c>
      <c r="R102" s="71"/>
      <c r="S102" s="239"/>
      <c r="T102" s="124"/>
      <c r="U102" s="148"/>
      <c r="Y102" s="242">
        <f t="shared" si="40"/>
        <v>3.6118732560250361E-3</v>
      </c>
      <c r="Z102" s="24">
        <f t="shared" si="36"/>
        <v>7.7529514784183034E-3</v>
      </c>
      <c r="AA102" s="27">
        <f t="shared" si="41"/>
        <v>0.92983626378909956</v>
      </c>
    </row>
    <row r="103" spans="1:27" ht="15.75" thickBot="1" x14ac:dyDescent="0.3">
      <c r="A103" s="253"/>
      <c r="B103" s="67" t="s">
        <v>14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241">
        <f t="shared" si="37"/>
        <v>-7.0926408701295074E-3</v>
      </c>
      <c r="P103" s="125">
        <f t="shared" si="38"/>
        <v>1.7662097806371525E-3</v>
      </c>
      <c r="Q103" s="36">
        <f t="shared" si="39"/>
        <v>0.96647773331941167</v>
      </c>
      <c r="R103" s="71"/>
      <c r="S103" s="239"/>
      <c r="T103" s="124"/>
      <c r="U103" s="148"/>
      <c r="Y103" s="241">
        <f t="shared" si="40"/>
        <v>1.5525354303494582E-3</v>
      </c>
      <c r="Z103" s="125">
        <f t="shared" si="36"/>
        <v>1.9363941108302511E-3</v>
      </c>
      <c r="AA103" s="36">
        <f t="shared" si="41"/>
        <v>0.9649008341565779</v>
      </c>
    </row>
    <row r="104" spans="1:27" ht="15.75" thickTop="1" x14ac:dyDescent="0.25">
      <c r="O104" s="21"/>
      <c r="P104" s="23"/>
      <c r="Q104" s="26"/>
      <c r="R104" s="71"/>
      <c r="S104" s="239"/>
      <c r="T104" s="124"/>
      <c r="U104" s="148"/>
    </row>
    <row r="105" spans="1:27" x14ac:dyDescent="0.25">
      <c r="O105" s="71"/>
      <c r="P105" s="5"/>
      <c r="Q105" s="239"/>
      <c r="R105" s="71"/>
      <c r="S105" s="239"/>
      <c r="T105" s="124"/>
      <c r="U105" s="148"/>
    </row>
    <row r="117" spans="1:31" x14ac:dyDescent="0.25">
      <c r="A117" s="65"/>
      <c r="B117" s="65"/>
      <c r="C117" s="207"/>
      <c r="D117" s="9"/>
      <c r="F117" s="9"/>
      <c r="G117" s="37"/>
      <c r="H117" s="37"/>
      <c r="I117" s="37"/>
      <c r="J117" s="37"/>
      <c r="K117" s="51"/>
      <c r="L117" s="49"/>
      <c r="M117" s="9"/>
      <c r="N117" s="71"/>
      <c r="O117" s="71"/>
      <c r="P117" s="71"/>
      <c r="Q117" s="71"/>
      <c r="R117" s="51"/>
      <c r="S117" s="49"/>
      <c r="T117" s="68"/>
      <c r="U117" s="68"/>
      <c r="V117" s="69"/>
      <c r="W117" s="71"/>
      <c r="X117" s="71"/>
      <c r="Y117" s="71"/>
      <c r="Z117" s="51"/>
      <c r="AA117" s="49"/>
      <c r="AB117" s="68"/>
      <c r="AC117" s="68"/>
      <c r="AD117" s="69"/>
      <c r="AE117" s="69"/>
    </row>
    <row r="118" spans="1:31" s="115" customFormat="1" x14ac:dyDescent="0.25">
      <c r="A118" s="114"/>
      <c r="B118" s="114"/>
      <c r="C118" s="207"/>
      <c r="D118" s="9"/>
      <c r="F118" s="9"/>
      <c r="G118" s="37"/>
      <c r="H118" s="37"/>
      <c r="I118" s="37"/>
      <c r="J118" s="37"/>
      <c r="K118" s="51"/>
      <c r="L118" s="49"/>
      <c r="M118" s="9"/>
      <c r="N118" s="71"/>
      <c r="O118" s="71"/>
      <c r="P118" s="71"/>
      <c r="Q118" s="71"/>
      <c r="R118" s="51"/>
      <c r="S118" s="49"/>
      <c r="T118" s="68"/>
      <c r="U118" s="68"/>
      <c r="V118" s="69"/>
      <c r="W118" s="71"/>
      <c r="X118" s="71"/>
      <c r="Y118" s="71"/>
      <c r="Z118" s="51"/>
      <c r="AA118" s="49"/>
      <c r="AB118" s="68"/>
      <c r="AC118" s="68"/>
      <c r="AD118" s="69"/>
      <c r="AE118" s="69"/>
    </row>
    <row r="119" spans="1:31" x14ac:dyDescent="0.25">
      <c r="A119" s="65"/>
      <c r="B119" s="65"/>
      <c r="C119" s="207"/>
      <c r="D119" s="9"/>
      <c r="F119" s="9"/>
      <c r="G119" s="37"/>
      <c r="H119" s="37"/>
      <c r="I119" s="37"/>
      <c r="J119" s="37"/>
      <c r="K119" s="51"/>
      <c r="L119" s="49"/>
      <c r="M119" s="9"/>
      <c r="N119" s="71"/>
      <c r="O119" s="71"/>
      <c r="P119" s="71"/>
      <c r="Q119" s="71"/>
      <c r="R119" s="51"/>
      <c r="S119" s="49"/>
      <c r="T119" s="68"/>
      <c r="U119" s="68"/>
      <c r="V119" s="69"/>
      <c r="W119" s="71"/>
      <c r="X119" s="71"/>
      <c r="Y119" s="71"/>
      <c r="Z119" s="51"/>
      <c r="AA119" s="49"/>
      <c r="AB119" s="68"/>
      <c r="AC119" s="68"/>
      <c r="AD119" s="69"/>
      <c r="AE119" s="69"/>
    </row>
    <row r="158" spans="5:5" s="115" customFormat="1" x14ac:dyDescent="0.25"/>
    <row r="159" spans="5:5" x14ac:dyDescent="0.25">
      <c r="E159" s="1"/>
    </row>
  </sheetData>
  <mergeCells count="24">
    <mergeCell ref="R40:V40"/>
    <mergeCell ref="W40:AA40"/>
    <mergeCell ref="M40:Q40"/>
    <mergeCell ref="H40:I40"/>
    <mergeCell ref="J40:K40"/>
    <mergeCell ref="W2:X2"/>
    <mergeCell ref="Y2:Z2"/>
    <mergeCell ref="A20:A27"/>
    <mergeCell ref="A12:A19"/>
    <mergeCell ref="A4:A11"/>
    <mergeCell ref="M2:N2"/>
    <mergeCell ref="O2:P2"/>
    <mergeCell ref="A80:A87"/>
    <mergeCell ref="A88:A95"/>
    <mergeCell ref="A96:A103"/>
    <mergeCell ref="H2:I2"/>
    <mergeCell ref="J2:K2"/>
    <mergeCell ref="A29:A36"/>
    <mergeCell ref="A28:B28"/>
    <mergeCell ref="A42:A49"/>
    <mergeCell ref="A50:A57"/>
    <mergeCell ref="A58:A65"/>
    <mergeCell ref="A66:B66"/>
    <mergeCell ref="A67:A7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D55"/>
  <sheetViews>
    <sheetView topLeftCell="A7" zoomScale="85" zoomScaleNormal="85" workbookViewId="0">
      <selection activeCell="AC25" sqref="AC25"/>
    </sheetView>
  </sheetViews>
  <sheetFormatPr baseColWidth="10" defaultRowHeight="15" x14ac:dyDescent="0.25"/>
  <cols>
    <col min="4" max="4" width="15.28515625" bestFit="1" customWidth="1"/>
    <col min="5" max="5" width="13.140625" bestFit="1" customWidth="1"/>
    <col min="6" max="6" width="14.42578125" bestFit="1" customWidth="1"/>
    <col min="7" max="7" width="13.42578125" bestFit="1" customWidth="1"/>
    <col min="8" max="8" width="12.28515625" bestFit="1" customWidth="1"/>
    <col min="9" max="9" width="15.28515625" bestFit="1" customWidth="1"/>
    <col min="13" max="13" width="13.140625" bestFit="1" customWidth="1"/>
    <col min="15" max="15" width="13.42578125" bestFit="1" customWidth="1"/>
    <col min="16" max="16" width="14.140625" bestFit="1" customWidth="1"/>
    <col min="17" max="17" width="15.28515625" bestFit="1" customWidth="1"/>
    <col min="18" max="21" width="14.140625" bestFit="1" customWidth="1"/>
  </cols>
  <sheetData>
    <row r="5" spans="1:30" x14ac:dyDescent="0.25">
      <c r="C5" s="115"/>
      <c r="E5" s="18"/>
      <c r="S5" s="37"/>
      <c r="T5" s="37"/>
    </row>
    <row r="6" spans="1:30" x14ac:dyDescent="0.25">
      <c r="A6" s="5"/>
      <c r="B6" s="5"/>
      <c r="C6" s="115"/>
      <c r="E6" s="264" t="s">
        <v>79</v>
      </c>
      <c r="F6" s="255"/>
      <c r="G6" s="255"/>
      <c r="H6" s="255"/>
      <c r="I6" s="255"/>
      <c r="J6" s="255"/>
      <c r="K6" s="255"/>
      <c r="L6" s="265"/>
      <c r="M6" s="256" t="s">
        <v>80</v>
      </c>
      <c r="N6" s="256"/>
      <c r="O6" s="256"/>
      <c r="P6" s="256"/>
      <c r="Q6" s="256"/>
      <c r="R6" s="256"/>
    </row>
    <row r="7" spans="1:30" x14ac:dyDescent="0.25">
      <c r="A7" s="6" t="s">
        <v>7</v>
      </c>
      <c r="B7" s="6" t="s">
        <v>8</v>
      </c>
      <c r="C7" s="6" t="s">
        <v>75</v>
      </c>
      <c r="D7" s="19"/>
      <c r="E7" s="8" t="s">
        <v>82</v>
      </c>
      <c r="F7" s="224" t="s">
        <v>83</v>
      </c>
      <c r="G7" s="224" t="s">
        <v>84</v>
      </c>
      <c r="H7" s="6" t="s">
        <v>77</v>
      </c>
      <c r="I7" s="6" t="s">
        <v>78</v>
      </c>
      <c r="J7" s="224" t="s">
        <v>81</v>
      </c>
      <c r="K7" s="6" t="s">
        <v>85</v>
      </c>
      <c r="L7" s="53" t="s">
        <v>14</v>
      </c>
      <c r="M7" s="6" t="s">
        <v>76</v>
      </c>
      <c r="N7" s="224" t="s">
        <v>83</v>
      </c>
      <c r="O7" s="224" t="s">
        <v>84</v>
      </c>
      <c r="P7" s="6" t="s">
        <v>77</v>
      </c>
      <c r="Q7" s="6" t="s">
        <v>78</v>
      </c>
      <c r="R7" s="6" t="s">
        <v>81</v>
      </c>
      <c r="S7" s="6" t="s">
        <v>85</v>
      </c>
      <c r="T7" s="53" t="s">
        <v>14</v>
      </c>
      <c r="Y7" s="132"/>
      <c r="Z7" s="132"/>
    </row>
    <row r="8" spans="1:30" x14ac:dyDescent="0.25">
      <c r="A8" s="260">
        <v>2012</v>
      </c>
      <c r="B8" s="12" t="s">
        <v>0</v>
      </c>
      <c r="C8" s="217">
        <f>IncidenceComplications!C4*IncidenceComplications!E42</f>
        <v>24135.965534036579</v>
      </c>
      <c r="E8" s="72">
        <f>Inpatient!C47*Inpatient!M7</f>
        <v>43.455288525210079</v>
      </c>
      <c r="F8" s="68">
        <f>Inpatient!Y47/IncidenceComplications!G4</f>
        <v>0</v>
      </c>
      <c r="G8" s="68">
        <f>Inpatient!AO47/IncidenceComplications!G4</f>
        <v>38.64399603361344</v>
      </c>
      <c r="H8" s="68">
        <f>Outpatient!N47</f>
        <v>61.986963231715151</v>
      </c>
      <c r="I8" s="68">
        <f>Pharmaceutical!N47</f>
        <v>7.1851765756302521</v>
      </c>
      <c r="J8" s="68">
        <f t="shared" ref="J8:J40" si="0">SUM(E8:I8)</f>
        <v>151.27142436616893</v>
      </c>
      <c r="K8" s="68">
        <f>Sick_Leave!K7/IncidenceComplications!G4</f>
        <v>0</v>
      </c>
      <c r="L8" s="78">
        <f t="shared" ref="L8:L40" si="1">J8+K8</f>
        <v>151.27142436616893</v>
      </c>
      <c r="M8" s="49">
        <f t="shared" ref="M8:M40" si="2">$C8*E8</f>
        <v>1048835.3461160858</v>
      </c>
      <c r="N8" s="49">
        <f t="shared" ref="N8:N40" si="3">$C8*F8</f>
        <v>0</v>
      </c>
      <c r="O8" s="49">
        <f t="shared" ref="O8:O40" si="4">$C8*G8</f>
        <v>932710.15636474022</v>
      </c>
      <c r="P8" s="49">
        <f t="shared" ref="P8:P40" si="5">$C8*H8</f>
        <v>1496115.2081202695</v>
      </c>
      <c r="Q8" s="49">
        <f t="shared" ref="Q8:Q40" si="6">$C8*I8</f>
        <v>173421.17418537874</v>
      </c>
      <c r="R8" s="49">
        <f t="shared" ref="R8:R40" si="7">$C8*J8</f>
        <v>3651081.8847864745</v>
      </c>
      <c r="S8" s="49">
        <f t="shared" ref="S8:S40" si="8">$C8*K8</f>
        <v>0</v>
      </c>
      <c r="T8" s="209">
        <f t="shared" ref="T8:T40" si="9">$C8*L8</f>
        <v>3651081.8847864745</v>
      </c>
      <c r="X8" s="18"/>
      <c r="Y8" s="18"/>
      <c r="AD8" s="23"/>
    </row>
    <row r="9" spans="1:30" x14ac:dyDescent="0.25">
      <c r="A9" s="261"/>
      <c r="B9" s="5" t="s">
        <v>1</v>
      </c>
      <c r="C9" s="217">
        <f>IncidenceComplications!C5*IncidenceComplications!E43</f>
        <v>49819.796864854208</v>
      </c>
      <c r="E9" s="72">
        <f>Inpatient!C48*Inpatient!M8</f>
        <v>13.665835508474578</v>
      </c>
      <c r="F9" s="68">
        <f>Inpatient!Y48/IncidenceComplications!G5</f>
        <v>-0.1374700475880053</v>
      </c>
      <c r="G9" s="68">
        <f>Inpatient!AO48/IncidenceComplications!G5</f>
        <v>19.483308021512389</v>
      </c>
      <c r="H9" s="68">
        <f>Outpatient!N48</f>
        <v>37.237686930826584</v>
      </c>
      <c r="I9" s="68">
        <f>Pharmaceutical!N48</f>
        <v>6.8509634289439365</v>
      </c>
      <c r="J9" s="68">
        <f t="shared" si="0"/>
        <v>77.100323842169487</v>
      </c>
      <c r="K9" s="68">
        <f>Sick_Leave!K8/IncidenceComplications!G5</f>
        <v>0</v>
      </c>
      <c r="L9" s="78">
        <f t="shared" si="1"/>
        <v>77.100323842169487</v>
      </c>
      <c r="M9" s="49">
        <f t="shared" si="2"/>
        <v>680829.14902071503</v>
      </c>
      <c r="N9" s="49">
        <f t="shared" si="3"/>
        <v>-6848.7298458362648</v>
      </c>
      <c r="O9" s="49">
        <f t="shared" si="4"/>
        <v>970654.44788713183</v>
      </c>
      <c r="P9" s="49">
        <f t="shared" si="5"/>
        <v>1855173.9986108167</v>
      </c>
      <c r="Q9" s="49">
        <f t="shared" si="6"/>
        <v>341313.60635853198</v>
      </c>
      <c r="R9" s="49">
        <f t="shared" si="7"/>
        <v>3841122.4720313596</v>
      </c>
      <c r="S9" s="49">
        <f t="shared" si="8"/>
        <v>0</v>
      </c>
      <c r="T9" s="59">
        <f t="shared" si="9"/>
        <v>3841122.4720313596</v>
      </c>
      <c r="X9" s="18"/>
      <c r="Y9" s="18"/>
      <c r="AB9" s="37"/>
      <c r="AD9" s="23"/>
    </row>
    <row r="10" spans="1:30" x14ac:dyDescent="0.25">
      <c r="A10" s="261"/>
      <c r="B10" s="5" t="s">
        <v>2</v>
      </c>
      <c r="C10" s="217">
        <f>IncidenceComplications!C6*IncidenceComplications!E44</f>
        <v>31258.986291790905</v>
      </c>
      <c r="E10" s="72">
        <f>Inpatient!C49*Inpatient!M9</f>
        <v>5.6803790099818512</v>
      </c>
      <c r="F10" s="68">
        <f>Inpatient!Y49/IncidenceComplications!G6</f>
        <v>-4.3013985907441015</v>
      </c>
      <c r="G10" s="68">
        <f>Inpatient!AO49/IncidenceComplications!G6</f>
        <v>16.9846703584392</v>
      </c>
      <c r="H10" s="68">
        <f>Outpatient!N49</f>
        <v>28.273647198361147</v>
      </c>
      <c r="I10" s="68">
        <f>Pharmaceutical!N49</f>
        <v>8.252818366606169</v>
      </c>
      <c r="J10" s="68">
        <f t="shared" si="0"/>
        <v>54.890116342644269</v>
      </c>
      <c r="K10" s="68">
        <f>Sick_Leave!K9/IncidenceComplications!G6</f>
        <v>0</v>
      </c>
      <c r="L10" s="78">
        <f t="shared" si="1"/>
        <v>54.890116342644269</v>
      </c>
      <c r="M10" s="49">
        <f t="shared" si="2"/>
        <v>177562.88960519948</v>
      </c>
      <c r="N10" s="49">
        <f t="shared" si="3"/>
        <v>-134457.35958359859</v>
      </c>
      <c r="O10" s="49">
        <f t="shared" si="4"/>
        <v>530923.57790503826</v>
      </c>
      <c r="P10" s="49">
        <f t="shared" si="5"/>
        <v>883805.55019250338</v>
      </c>
      <c r="Q10" s="49">
        <f t="shared" si="6"/>
        <v>257974.73619038245</v>
      </c>
      <c r="R10" s="49">
        <f t="shared" si="7"/>
        <v>1715809.3943095251</v>
      </c>
      <c r="S10" s="49">
        <f t="shared" si="8"/>
        <v>0</v>
      </c>
      <c r="T10" s="59">
        <f t="shared" si="9"/>
        <v>1715809.3943095251</v>
      </c>
      <c r="AD10" s="23"/>
    </row>
    <row r="11" spans="1:30" x14ac:dyDescent="0.25">
      <c r="A11" s="261"/>
      <c r="B11" s="5" t="s">
        <v>3</v>
      </c>
      <c r="C11" s="217">
        <f>IncidenceComplications!C7*IncidenceComplications!E45</f>
        <v>61768.079044091959</v>
      </c>
      <c r="E11" s="72">
        <f>Inpatient!C50*Inpatient!M10</f>
        <v>10.908250073818897</v>
      </c>
      <c r="F11" s="68">
        <f>Inpatient!Y50/IncidenceComplications!G7</f>
        <v>0</v>
      </c>
      <c r="G11" s="68">
        <f>Inpatient!AO50/IncidenceComplications!G7</f>
        <v>6.8186696363188979</v>
      </c>
      <c r="H11" s="68">
        <f>Outpatient!N50</f>
        <v>66.837741080128467</v>
      </c>
      <c r="I11" s="68">
        <f>Pharmaceutical!N50</f>
        <v>7.9282282824803154</v>
      </c>
      <c r="J11" s="68">
        <f t="shared" si="0"/>
        <v>92.492889072746578</v>
      </c>
      <c r="K11" s="68">
        <f>Sick_Leave!K10/IncidenceComplications!G7</f>
        <v>3.3121584645669291</v>
      </c>
      <c r="L11" s="78">
        <f t="shared" si="1"/>
        <v>95.805047537313513</v>
      </c>
      <c r="M11" s="49">
        <f t="shared" si="2"/>
        <v>673781.6527923675</v>
      </c>
      <c r="N11" s="49">
        <f t="shared" si="3"/>
        <v>0</v>
      </c>
      <c r="O11" s="49">
        <f t="shared" si="4"/>
        <v>421176.12507169548</v>
      </c>
      <c r="P11" s="49">
        <f t="shared" si="5"/>
        <v>4128438.8741659275</v>
      </c>
      <c r="Q11" s="49">
        <f t="shared" si="6"/>
        <v>489711.43123184954</v>
      </c>
      <c r="R11" s="49">
        <f t="shared" si="7"/>
        <v>5713108.08326184</v>
      </c>
      <c r="S11" s="49">
        <f t="shared" si="8"/>
        <v>204585.66584592834</v>
      </c>
      <c r="T11" s="59">
        <f t="shared" si="9"/>
        <v>5917693.7491077688</v>
      </c>
      <c r="AD11" s="23"/>
    </row>
    <row r="12" spans="1:30" x14ac:dyDescent="0.25">
      <c r="A12" s="261"/>
      <c r="B12" s="5" t="s">
        <v>4</v>
      </c>
      <c r="C12" s="217">
        <f>IncidenceComplications!C8*IncidenceComplications!E46</f>
        <v>169658.09534580616</v>
      </c>
      <c r="E12" s="72">
        <f>Inpatient!C51*Inpatient!M11</f>
        <v>5.3469652663232843</v>
      </c>
      <c r="F12" s="68">
        <f>Inpatient!Y51/IncidenceComplications!G8</f>
        <v>0.16578017966974704</v>
      </c>
      <c r="G12" s="68">
        <f>Inpatient!AO51/IncidenceComplications!G8</f>
        <v>4.3069794323587338</v>
      </c>
      <c r="H12" s="68">
        <f>Outpatient!N51</f>
        <v>53.760705282002732</v>
      </c>
      <c r="I12" s="68">
        <f>Pharmaceutical!N51</f>
        <v>4.4213548856233889</v>
      </c>
      <c r="J12" s="68">
        <f t="shared" si="0"/>
        <v>68.001785045977883</v>
      </c>
      <c r="K12" s="68">
        <f>Sick_Leave!K11/IncidenceComplications!G8</f>
        <v>139.37658648297378</v>
      </c>
      <c r="L12" s="78">
        <f t="shared" si="1"/>
        <v>207.37837152895167</v>
      </c>
      <c r="M12" s="49">
        <f t="shared" si="2"/>
        <v>907155.94296458957</v>
      </c>
      <c r="N12" s="49">
        <f t="shared" si="3"/>
        <v>28125.949528854817</v>
      </c>
      <c r="O12" s="49">
        <f t="shared" si="4"/>
        <v>730713.92718754418</v>
      </c>
      <c r="P12" s="49">
        <f t="shared" si="5"/>
        <v>9120938.8625918049</v>
      </c>
      <c r="Q12" s="49">
        <f t="shared" si="6"/>
        <v>750118.64874273876</v>
      </c>
      <c r="R12" s="49">
        <f t="shared" si="7"/>
        <v>11537053.331015531</v>
      </c>
      <c r="S12" s="49">
        <f t="shared" si="8"/>
        <v>23646366.198501363</v>
      </c>
      <c r="T12" s="59">
        <f t="shared" si="9"/>
        <v>35183419.529516898</v>
      </c>
      <c r="AD12" s="23"/>
    </row>
    <row r="13" spans="1:30" x14ac:dyDescent="0.25">
      <c r="A13" s="261"/>
      <c r="B13" s="5" t="s">
        <v>5</v>
      </c>
      <c r="C13" s="217">
        <f>IncidenceComplications!C9*IncidenceComplications!E47</f>
        <v>260305.66142240481</v>
      </c>
      <c r="E13" s="72">
        <f>Inpatient!C52*Inpatient!M12</f>
        <v>3.0296928731799957</v>
      </c>
      <c r="F13" s="68">
        <f>Inpatient!Y52/IncidenceComplications!G9</f>
        <v>0.18748271755644652</v>
      </c>
      <c r="G13" s="68">
        <f>Inpatient!AO52/IncidenceComplications!G9</f>
        <v>5.4754670484279382</v>
      </c>
      <c r="H13" s="68">
        <f>Outpatient!N52</f>
        <v>67.653050577806511</v>
      </c>
      <c r="I13" s="68">
        <f>Pharmaceutical!N52</f>
        <v>6.1275698776113101</v>
      </c>
      <c r="J13" s="68">
        <f t="shared" si="0"/>
        <v>82.473263094582194</v>
      </c>
      <c r="K13" s="68">
        <f>Sick_Leave!K12/IncidenceComplications!G9</f>
        <v>328.4925529781122</v>
      </c>
      <c r="L13" s="78">
        <f t="shared" si="1"/>
        <v>410.96581607269439</v>
      </c>
      <c r="M13" s="49">
        <f t="shared" si="2"/>
        <v>788646.20725986478</v>
      </c>
      <c r="N13" s="49">
        <f t="shared" si="3"/>
        <v>48802.812798800718</v>
      </c>
      <c r="O13" s="49">
        <f t="shared" si="4"/>
        <v>1425295.0716376172</v>
      </c>
      <c r="P13" s="49">
        <f t="shared" si="5"/>
        <v>17610472.077899329</v>
      </c>
      <c r="Q13" s="49">
        <f t="shared" si="6"/>
        <v>1595041.1299036162</v>
      </c>
      <c r="R13" s="49">
        <f t="shared" si="7"/>
        <v>21468257.299499225</v>
      </c>
      <c r="S13" s="49">
        <f t="shared" si="8"/>
        <v>85508471.275301844</v>
      </c>
      <c r="T13" s="59">
        <f t="shared" si="9"/>
        <v>106976728.57480107</v>
      </c>
      <c r="AD13" s="23"/>
    </row>
    <row r="14" spans="1:30" x14ac:dyDescent="0.25">
      <c r="A14" s="261"/>
      <c r="B14" s="6" t="s">
        <v>6</v>
      </c>
      <c r="C14" s="221">
        <f>IncidenceComplications!C10*IncidenceComplications!E48</f>
        <v>108374.19871343239</v>
      </c>
      <c r="D14" s="6"/>
      <c r="E14" s="229">
        <f>Inpatient!C53*Inpatient!M13</f>
        <v>19.005996757966919</v>
      </c>
      <c r="F14" s="75">
        <f>Inpatient!Y53/IncidenceComplications!G10</f>
        <v>0</v>
      </c>
      <c r="G14" s="75">
        <f>Inpatient!AO53/IncidenceComplications!G10</f>
        <v>30.584516631302943</v>
      </c>
      <c r="H14" s="68">
        <f>Outpatient!N53</f>
        <v>63.783311274170615</v>
      </c>
      <c r="I14" s="68">
        <f>Pharmaceutical!N53</f>
        <v>7.2026940298507469</v>
      </c>
      <c r="J14" s="75">
        <f t="shared" si="0"/>
        <v>120.57651869329122</v>
      </c>
      <c r="K14" s="75">
        <f>Sick_Leave!K13/IncidenceComplications!G10</f>
        <v>70.943381243169711</v>
      </c>
      <c r="L14" s="79">
        <f t="shared" si="1"/>
        <v>191.51989993646094</v>
      </c>
      <c r="M14" s="50">
        <f t="shared" si="2"/>
        <v>2059759.6693947585</v>
      </c>
      <c r="N14" s="50">
        <f t="shared" si="3"/>
        <v>0</v>
      </c>
      <c r="O14" s="50">
        <f t="shared" si="4"/>
        <v>3314572.4829551028</v>
      </c>
      <c r="P14" s="50">
        <f t="shared" si="5"/>
        <v>6912465.2506276788</v>
      </c>
      <c r="Q14" s="50">
        <f t="shared" si="6"/>
        <v>780586.19406309794</v>
      </c>
      <c r="R14" s="50">
        <f t="shared" si="7"/>
        <v>13067383.597040638</v>
      </c>
      <c r="S14" s="50">
        <f t="shared" si="8"/>
        <v>7688432.0962500665</v>
      </c>
      <c r="T14" s="60">
        <f t="shared" si="9"/>
        <v>20755815.693290707</v>
      </c>
      <c r="AD14" s="23"/>
    </row>
    <row r="15" spans="1:30" ht="15.75" thickBot="1" x14ac:dyDescent="0.3">
      <c r="A15" s="262"/>
      <c r="B15" s="15" t="s">
        <v>14</v>
      </c>
      <c r="C15" s="222">
        <f>IncidenceComplications!C11*IncidenceComplications!E49</f>
        <v>745845.12093660992</v>
      </c>
      <c r="D15" s="15"/>
      <c r="E15" s="230">
        <f t="array" ref="E15">SUM(E8:E14*IncidenceComplications!$G4:$G10)/SUM(IncidenceComplications!$G4:$G10)</f>
        <v>7.6449271607881188</v>
      </c>
      <c r="F15" s="76">
        <f>Inpatient!Y54/IncidenceComplications!G11</f>
        <v>-8.7745512488397584E-2</v>
      </c>
      <c r="G15" s="76">
        <f>Inpatient!AO54/IncidenceComplications!G11</f>
        <v>9.999174951480887</v>
      </c>
      <c r="H15" s="77">
        <f t="array" ref="H15">SUM(H8:H14*IncidenceComplications!$G4:$G10)/SUM(IncidenceComplications!$G4:$G10)</f>
        <v>59.396216054730345</v>
      </c>
      <c r="I15" s="77">
        <f t="array" ref="I15">SUM(I8:I14*IncidenceComplications!$G4:$G10)/SUM(IncidenceComplications!$G4:$G10)</f>
        <v>6.0860786878744406</v>
      </c>
      <c r="J15" s="77">
        <f t="shared" si="0"/>
        <v>83.038651342385407</v>
      </c>
      <c r="K15" s="77">
        <f>Sick_Leave!K14/IncidenceComplications!G11</f>
        <v>177.87850023637139</v>
      </c>
      <c r="L15" s="80">
        <f t="shared" si="1"/>
        <v>260.91715157875683</v>
      </c>
      <c r="M15" s="57">
        <f t="shared" si="2"/>
        <v>5701931.6227895888</v>
      </c>
      <c r="N15" s="57">
        <f t="shared" si="3"/>
        <v>-65444.562373553716</v>
      </c>
      <c r="O15" s="57">
        <f t="shared" si="4"/>
        <v>7457835.8509535827</v>
      </c>
      <c r="P15" s="57">
        <f t="shared" si="5"/>
        <v>44300377.946517363</v>
      </c>
      <c r="Q15" s="57">
        <f t="shared" si="6"/>
        <v>4539272.0949874362</v>
      </c>
      <c r="R15" s="57">
        <f t="shared" si="7"/>
        <v>61933972.95287443</v>
      </c>
      <c r="S15" s="57">
        <f t="shared" si="8"/>
        <v>132669811.52081922</v>
      </c>
      <c r="T15" s="206">
        <f t="shared" si="9"/>
        <v>194603784.47369367</v>
      </c>
    </row>
    <row r="16" spans="1:30" ht="15.75" thickTop="1" x14ac:dyDescent="0.25">
      <c r="A16" s="263">
        <v>2013</v>
      </c>
      <c r="B16" s="5" t="s">
        <v>0</v>
      </c>
      <c r="C16" s="217">
        <f>IncidenceComplications!C12*IncidenceComplications!E50</f>
        <v>40719.803778775502</v>
      </c>
      <c r="E16" s="72">
        <f>Inpatient!C55*Inpatient!M15</f>
        <v>116.54591737801609</v>
      </c>
      <c r="F16" s="68">
        <f>Inpatient!Y55/IncidenceComplications!G12</f>
        <v>0</v>
      </c>
      <c r="G16" s="68">
        <f>Inpatient!AO55/IncidenceComplications!G12</f>
        <v>256.4562912386059</v>
      </c>
      <c r="H16" s="68">
        <f>Outpatient!N55</f>
        <v>36.219492901788215</v>
      </c>
      <c r="I16" s="68">
        <f>Pharmaceutical!N55</f>
        <v>7.8588391420911545</v>
      </c>
      <c r="J16" s="68">
        <f t="shared" si="0"/>
        <v>417.08054066050136</v>
      </c>
      <c r="K16" s="68">
        <f>Sick_Leave!K15/IncidenceComplications!G12</f>
        <v>0</v>
      </c>
      <c r="L16" s="78">
        <f t="shared" si="1"/>
        <v>417.08054066050136</v>
      </c>
      <c r="M16" s="49">
        <f t="shared" si="2"/>
        <v>4745726.8868501969</v>
      </c>
      <c r="N16" s="49">
        <f t="shared" si="3"/>
        <v>0</v>
      </c>
      <c r="O16" s="49">
        <f t="shared" si="4"/>
        <v>10442849.857068535</v>
      </c>
      <c r="P16" s="49">
        <f t="shared" si="5"/>
        <v>1474850.6439275681</v>
      </c>
      <c r="Q16" s="49">
        <f t="shared" si="6"/>
        <v>320010.38779491221</v>
      </c>
      <c r="R16" s="49">
        <f t="shared" si="7"/>
        <v>16983437.775641214</v>
      </c>
      <c r="S16" s="49">
        <f t="shared" si="8"/>
        <v>0</v>
      </c>
      <c r="T16" s="59">
        <f t="shared" si="9"/>
        <v>16983437.775641214</v>
      </c>
    </row>
    <row r="17" spans="1:26" x14ac:dyDescent="0.25">
      <c r="A17" s="261"/>
      <c r="B17" s="5" t="s">
        <v>1</v>
      </c>
      <c r="C17" s="217">
        <f>IncidenceComplications!C13*IncidenceComplications!E51</f>
        <v>106595.68901061018</v>
      </c>
      <c r="E17" s="72">
        <f>Inpatient!C56*Inpatient!M16</f>
        <v>27.228465551585014</v>
      </c>
      <c r="F17" s="68">
        <f>Inpatient!Y56/IncidenceComplications!G13</f>
        <v>0.2694574305475505</v>
      </c>
      <c r="G17" s="68">
        <f>Inpatient!AO56/IncidenceComplications!G13</f>
        <v>28.614369727953889</v>
      </c>
      <c r="H17" s="68">
        <f>Outpatient!N56</f>
        <v>51.447114592638627</v>
      </c>
      <c r="I17" s="68">
        <f>Pharmaceutical!N56</f>
        <v>7.9786506051873189</v>
      </c>
      <c r="J17" s="68">
        <f t="shared" si="0"/>
        <v>115.53805790791239</v>
      </c>
      <c r="K17" s="68">
        <f>Sick_Leave!K16/IncidenceComplications!G13</f>
        <v>0</v>
      </c>
      <c r="L17" s="78">
        <f t="shared" si="1"/>
        <v>115.53805790791239</v>
      </c>
      <c r="M17" s="49">
        <f t="shared" si="2"/>
        <v>2902437.0461728685</v>
      </c>
      <c r="N17" s="49">
        <f t="shared" si="3"/>
        <v>28723.000468244783</v>
      </c>
      <c r="O17" s="49">
        <f t="shared" si="4"/>
        <v>3050168.4567555911</v>
      </c>
      <c r="P17" s="49">
        <f t="shared" si="5"/>
        <v>5484040.6276101321</v>
      </c>
      <c r="Q17" s="49">
        <f t="shared" si="6"/>
        <v>850489.75863486412</v>
      </c>
      <c r="R17" s="49">
        <f t="shared" si="7"/>
        <v>12315858.889641698</v>
      </c>
      <c r="S17" s="49">
        <f t="shared" si="8"/>
        <v>0</v>
      </c>
      <c r="T17" s="59">
        <f t="shared" si="9"/>
        <v>12315858.889641698</v>
      </c>
    </row>
    <row r="18" spans="1:26" x14ac:dyDescent="0.25">
      <c r="A18" s="261"/>
      <c r="B18" s="5" t="s">
        <v>2</v>
      </c>
      <c r="C18" s="217">
        <f>IncidenceComplications!C14*IncidenceComplications!E52</f>
        <v>81334.734608474158</v>
      </c>
      <c r="E18" s="72">
        <f>Inpatient!C57*Inpatient!M17</f>
        <v>16.400897211122555</v>
      </c>
      <c r="F18" s="68">
        <f>Inpatient!Y57/IncidenceComplications!G14</f>
        <v>-0.5423903975283213</v>
      </c>
      <c r="G18" s="68">
        <f>Inpatient!AO57/IncidenceComplications!G14</f>
        <v>4.2723428959835212</v>
      </c>
      <c r="H18" s="68">
        <f>Outpatient!N57</f>
        <v>35.770091293636483</v>
      </c>
      <c r="I18" s="68">
        <f>Pharmaceutical!N57</f>
        <v>6.3895895640233409</v>
      </c>
      <c r="J18" s="68">
        <f t="shared" si="0"/>
        <v>62.290530567237582</v>
      </c>
      <c r="K18" s="68">
        <f>Sick_Leave!K17/IncidenceComplications!G14</f>
        <v>0</v>
      </c>
      <c r="L18" s="78">
        <f t="shared" si="1"/>
        <v>62.290530567237582</v>
      </c>
      <c r="M18" s="49">
        <f t="shared" si="2"/>
        <v>1333962.6220075169</v>
      </c>
      <c r="N18" s="49">
        <f t="shared" si="3"/>
        <v>-44115.17903715081</v>
      </c>
      <c r="O18" s="49">
        <f t="shared" si="4"/>
        <v>347489.8756012196</v>
      </c>
      <c r="P18" s="49">
        <f t="shared" si="5"/>
        <v>2909350.8822888155</v>
      </c>
      <c r="Q18" s="49">
        <f t="shared" si="6"/>
        <v>519695.57144691452</v>
      </c>
      <c r="R18" s="49">
        <f t="shared" si="7"/>
        <v>5066383.7723073158</v>
      </c>
      <c r="S18" s="49">
        <f t="shared" si="8"/>
        <v>0</v>
      </c>
      <c r="T18" s="59">
        <f t="shared" si="9"/>
        <v>5066383.7723073158</v>
      </c>
      <c r="X18" s="69"/>
      <c r="Y18" s="69"/>
      <c r="Z18" s="69"/>
    </row>
    <row r="19" spans="1:26" x14ac:dyDescent="0.25">
      <c r="A19" s="261"/>
      <c r="B19" s="5" t="s">
        <v>3</v>
      </c>
      <c r="C19" s="217">
        <f>IncidenceComplications!C15*IncidenceComplications!E53</f>
        <v>126347.89687939645</v>
      </c>
      <c r="E19" s="72">
        <f>Inpatient!C58*Inpatient!M18</f>
        <v>6.7022029224904704</v>
      </c>
      <c r="F19" s="68">
        <f>Inpatient!Y58/IncidenceComplications!G15</f>
        <v>0.27365243710292247</v>
      </c>
      <c r="G19" s="68">
        <f>Inpatient!AO58/IncidenceComplications!G15</f>
        <v>2.7283543710292246</v>
      </c>
      <c r="H19" s="68">
        <f>Outpatient!N58</f>
        <v>48.978571959274433</v>
      </c>
      <c r="I19" s="68">
        <f>Pharmaceutical!N58</f>
        <v>9.2573968869123249</v>
      </c>
      <c r="J19" s="68">
        <f t="shared" si="0"/>
        <v>67.940178576809373</v>
      </c>
      <c r="K19" s="68">
        <f>Sick_Leave!K18/IncidenceComplications!G15</f>
        <v>4.9983098009318088</v>
      </c>
      <c r="L19" s="78">
        <f t="shared" si="1"/>
        <v>72.93848837774118</v>
      </c>
      <c r="M19" s="49">
        <f t="shared" si="2"/>
        <v>846809.24371561548</v>
      </c>
      <c r="N19" s="49">
        <f t="shared" si="3"/>
        <v>34575.409903875574</v>
      </c>
      <c r="O19" s="49">
        <f t="shared" si="4"/>
        <v>344721.83672125102</v>
      </c>
      <c r="P19" s="49">
        <f t="shared" si="5"/>
        <v>6188339.5592105044</v>
      </c>
      <c r="Q19" s="49">
        <f t="shared" si="6"/>
        <v>1169652.6272392441</v>
      </c>
      <c r="R19" s="49">
        <f t="shared" si="7"/>
        <v>8584098.6767904907</v>
      </c>
      <c r="S19" s="49">
        <f t="shared" si="8"/>
        <v>631525.93129940878</v>
      </c>
      <c r="T19" s="59">
        <f t="shared" si="9"/>
        <v>9215624.6080898996</v>
      </c>
      <c r="X19" s="69"/>
      <c r="Y19" s="69"/>
      <c r="Z19" s="69"/>
    </row>
    <row r="20" spans="1:26" x14ac:dyDescent="0.25">
      <c r="A20" s="261"/>
      <c r="B20" s="5" t="s">
        <v>4</v>
      </c>
      <c r="C20" s="217">
        <f>IncidenceComplications!C16*IncidenceComplications!E54</f>
        <v>283793.39120769635</v>
      </c>
      <c r="E20" s="72">
        <f>Inpatient!C59*Inpatient!M19</f>
        <v>6.4216457148658934</v>
      </c>
      <c r="F20" s="68">
        <f>Inpatient!Y59/IncidenceComplications!G16</f>
        <v>0.19483739131906253</v>
      </c>
      <c r="G20" s="68">
        <f>Inpatient!AO59/IncidenceComplications!G16</f>
        <v>2.3688940922243846</v>
      </c>
      <c r="H20" s="68">
        <f>Outpatient!N59</f>
        <v>56.792918214694993</v>
      </c>
      <c r="I20" s="68">
        <f>Pharmaceutical!N59</f>
        <v>5.2757655808444044</v>
      </c>
      <c r="J20" s="68">
        <f t="shared" si="0"/>
        <v>71.054060993948738</v>
      </c>
      <c r="K20" s="68">
        <f>Sick_Leave!K19/IncidenceComplications!G16</f>
        <v>144.0409939825656</v>
      </c>
      <c r="L20" s="78">
        <f t="shared" si="1"/>
        <v>215.09505497651435</v>
      </c>
      <c r="M20" s="49">
        <f t="shared" si="2"/>
        <v>1822420.6145561633</v>
      </c>
      <c r="N20" s="49">
        <f t="shared" si="3"/>
        <v>55293.56401649773</v>
      </c>
      <c r="O20" s="49">
        <f t="shared" si="4"/>
        <v>672276.4878442355</v>
      </c>
      <c r="P20" s="49">
        <f t="shared" si="5"/>
        <v>16117454.85672964</v>
      </c>
      <c r="Q20" s="49">
        <f t="shared" si="6"/>
        <v>1497227.4054046753</v>
      </c>
      <c r="R20" s="49">
        <f t="shared" si="7"/>
        <v>20164672.928551212</v>
      </c>
      <c r="S20" s="49">
        <f t="shared" si="8"/>
        <v>40877882.155239671</v>
      </c>
      <c r="T20" s="59">
        <f t="shared" si="9"/>
        <v>61042555.083790891</v>
      </c>
    </row>
    <row r="21" spans="1:26" x14ac:dyDescent="0.25">
      <c r="A21" s="261"/>
      <c r="B21" s="5" t="s">
        <v>5</v>
      </c>
      <c r="C21" s="217">
        <f>IncidenceComplications!C17*IncidenceComplications!E55</f>
        <v>544679.70133519731</v>
      </c>
      <c r="E21" s="72">
        <f>Inpatient!C60*Inpatient!M20</f>
        <v>5.8540257610810293</v>
      </c>
      <c r="F21" s="68">
        <f>Inpatient!Y60/IncidenceComplications!G17</f>
        <v>-5.1827451435143022E-2</v>
      </c>
      <c r="G21" s="68">
        <f>Inpatient!AO60/IncidenceComplications!G17</f>
        <v>5.6643362834826778</v>
      </c>
      <c r="H21" s="68">
        <f>Outpatient!N60</f>
        <v>48.63901341627485</v>
      </c>
      <c r="I21" s="68">
        <f>Pharmaceutical!N60</f>
        <v>6.1710535243662852</v>
      </c>
      <c r="J21" s="68">
        <f t="shared" si="0"/>
        <v>66.276601533769693</v>
      </c>
      <c r="K21" s="68">
        <f>Sick_Leave!K20/IncidenceComplications!G17</f>
        <v>360.09249018694118</v>
      </c>
      <c r="L21" s="78">
        <f t="shared" si="1"/>
        <v>426.36909172071086</v>
      </c>
      <c r="M21" s="49">
        <f t="shared" si="2"/>
        <v>3188569.003154166</v>
      </c>
      <c r="N21" s="49">
        <f t="shared" si="3"/>
        <v>-28229.360768658145</v>
      </c>
      <c r="O21" s="49">
        <f t="shared" si="4"/>
        <v>3085248.9951494667</v>
      </c>
      <c r="P21" s="49">
        <f t="shared" si="5"/>
        <v>26492683.30081524</v>
      </c>
      <c r="Q21" s="49">
        <f t="shared" si="6"/>
        <v>3361247.5905753449</v>
      </c>
      <c r="R21" s="49">
        <f t="shared" si="7"/>
        <v>36099519.528925553</v>
      </c>
      <c r="S21" s="49">
        <f t="shared" si="8"/>
        <v>196135070.00807059</v>
      </c>
      <c r="T21" s="59">
        <f t="shared" si="9"/>
        <v>232234589.53699613</v>
      </c>
    </row>
    <row r="22" spans="1:26" x14ac:dyDescent="0.25">
      <c r="A22" s="261"/>
      <c r="B22" s="6" t="s">
        <v>6</v>
      </c>
      <c r="C22" s="221">
        <f>IncidenceComplications!C18*IncidenceComplications!E56</f>
        <v>169385.90945165727</v>
      </c>
      <c r="D22" s="6"/>
      <c r="E22" s="229">
        <f>Inpatient!C61*Inpatient!M21</f>
        <v>29.50019213939251</v>
      </c>
      <c r="F22" s="75">
        <f>Inpatient!Y61/IncidenceComplications!G18</f>
        <v>0</v>
      </c>
      <c r="G22" s="75">
        <f>Inpatient!AO61/IncidenceComplications!G18</f>
        <v>42.674757476807159</v>
      </c>
      <c r="H22" s="68">
        <f>Outpatient!N61</f>
        <v>69.269888836875452</v>
      </c>
      <c r="I22" s="68">
        <f>Pharmaceutical!N61</f>
        <v>8.6169218978102187</v>
      </c>
      <c r="J22" s="75">
        <f t="shared" si="0"/>
        <v>150.06176035088535</v>
      </c>
      <c r="K22" s="75">
        <f>Sick_Leave!K21/IncidenceComplications!G18</f>
        <v>101.51223156181915</v>
      </c>
      <c r="L22" s="79">
        <f t="shared" si="1"/>
        <v>251.57399191270451</v>
      </c>
      <c r="M22" s="50">
        <f t="shared" si="2"/>
        <v>4996916.8745296309</v>
      </c>
      <c r="N22" s="50">
        <f t="shared" si="3"/>
        <v>0</v>
      </c>
      <c r="O22" s="50">
        <f t="shared" si="4"/>
        <v>7228502.6058378909</v>
      </c>
      <c r="P22" s="50">
        <f t="shared" si="5"/>
        <v>11733343.118249349</v>
      </c>
      <c r="Q22" s="50">
        <f t="shared" si="6"/>
        <v>1459585.1523344843</v>
      </c>
      <c r="R22" s="50">
        <f t="shared" si="7"/>
        <v>25418347.750951357</v>
      </c>
      <c r="S22" s="50">
        <f t="shared" si="8"/>
        <v>17194741.663565964</v>
      </c>
      <c r="T22" s="60">
        <f t="shared" si="9"/>
        <v>42613089.414517321</v>
      </c>
    </row>
    <row r="23" spans="1:26" ht="15.75" thickBot="1" x14ac:dyDescent="0.3">
      <c r="A23" s="262"/>
      <c r="B23" s="15" t="s">
        <v>14</v>
      </c>
      <c r="C23" s="222">
        <f>IncidenceComplications!C19*IncidenceComplications!E57</f>
        <v>1443237.7911214416</v>
      </c>
      <c r="D23" s="15"/>
      <c r="E23" s="230">
        <f t="array" ref="E23">SUM(E16:E22*IncidenceComplications!$G12:$G18)/SUM(IncidenceComplications!$G12:$G18)</f>
        <v>11.974788995449515</v>
      </c>
      <c r="F23" s="76">
        <f>Inpatient!Y62/IncidenceComplications!G19</f>
        <v>3.8298218915262597E-2</v>
      </c>
      <c r="G23" s="76">
        <f>Inpatient!AO62/IncidenceComplications!G19</f>
        <v>13.187872926577299</v>
      </c>
      <c r="H23" s="77">
        <f t="array" ref="H23">SUM(H16:H22*IncidenceComplications!$G12:$G18)/SUM(IncidenceComplications!$G12:$G18)</f>
        <v>51.684676163759619</v>
      </c>
      <c r="I23" s="77">
        <f t="array" ref="I23">SUM(I16:I22*IncidenceComplications!$G12:$G18)/SUM(IncidenceComplications!$G12:$G18)</f>
        <v>6.6332343459189111</v>
      </c>
      <c r="J23" s="77">
        <f t="shared" si="0"/>
        <v>83.518870650620599</v>
      </c>
      <c r="K23" s="77">
        <f>Sick_Leave!K22/IncidenceComplications!G19</f>
        <v>198.25185815427099</v>
      </c>
      <c r="L23" s="80">
        <f t="shared" si="1"/>
        <v>281.77072880489158</v>
      </c>
      <c r="M23" s="57">
        <f t="shared" si="2"/>
        <v>17282468.018937904</v>
      </c>
      <c r="N23" s="57">
        <f t="shared" si="3"/>
        <v>55273.436871149002</v>
      </c>
      <c r="O23" s="57">
        <f t="shared" si="4"/>
        <v>19033236.592143685</v>
      </c>
      <c r="P23" s="57">
        <f t="shared" si="5"/>
        <v>74593277.861411452</v>
      </c>
      <c r="Q23" s="57">
        <f t="shared" si="6"/>
        <v>9573334.4853948895</v>
      </c>
      <c r="R23" s="57">
        <f t="shared" si="7"/>
        <v>120537590.39475907</v>
      </c>
      <c r="S23" s="57">
        <f t="shared" si="8"/>
        <v>286124573.84829146</v>
      </c>
      <c r="T23" s="206">
        <f t="shared" si="9"/>
        <v>406662164.24305052</v>
      </c>
    </row>
    <row r="24" spans="1:26" ht="15.75" thickTop="1" x14ac:dyDescent="0.25">
      <c r="A24" s="263">
        <v>2014</v>
      </c>
      <c r="B24" s="5" t="s">
        <v>0</v>
      </c>
      <c r="C24" s="217">
        <f>IncidenceComplications!C20*IncidenceComplications!E58</f>
        <v>20416.874565244863</v>
      </c>
      <c r="E24" s="72">
        <f>Inpatient!C63*Inpatient!M23</f>
        <v>18.719532908704885</v>
      </c>
      <c r="F24" s="68">
        <f>Inpatient!Y63/IncidenceComplications!G20</f>
        <v>13.211337579617835</v>
      </c>
      <c r="G24" s="68">
        <f>Inpatient!AO63/IncidenceComplications!G20</f>
        <v>0</v>
      </c>
      <c r="H24" s="68">
        <f>Outpatient!N63</f>
        <v>52.469407346072188</v>
      </c>
      <c r="I24" s="68">
        <f>Pharmaceutical!N63</f>
        <v>7.6010403397027613</v>
      </c>
      <c r="J24" s="68">
        <f t="shared" si="0"/>
        <v>92.001318174097662</v>
      </c>
      <c r="K24" s="68">
        <f>Sick_Leave!K23/IncidenceComplications!G20</f>
        <v>0</v>
      </c>
      <c r="L24" s="78">
        <f t="shared" si="1"/>
        <v>92.001318174097662</v>
      </c>
      <c r="M24" s="49">
        <f t="shared" si="2"/>
        <v>382194.35531700094</v>
      </c>
      <c r="N24" s="49">
        <f t="shared" si="3"/>
        <v>269734.22220216302</v>
      </c>
      <c r="O24" s="49">
        <f t="shared" si="4"/>
        <v>0</v>
      </c>
      <c r="P24" s="49">
        <f t="shared" si="5"/>
        <v>1071261.3082974933</v>
      </c>
      <c r="Q24" s="49">
        <f t="shared" si="6"/>
        <v>155189.48718107748</v>
      </c>
      <c r="R24" s="49">
        <f t="shared" si="7"/>
        <v>1878379.3729977345</v>
      </c>
      <c r="S24" s="49">
        <f t="shared" si="8"/>
        <v>0</v>
      </c>
      <c r="T24" s="59">
        <f t="shared" si="9"/>
        <v>1878379.3729977345</v>
      </c>
    </row>
    <row r="25" spans="1:26" x14ac:dyDescent="0.25">
      <c r="A25" s="261"/>
      <c r="B25" s="5" t="s">
        <v>1</v>
      </c>
      <c r="C25" s="217">
        <f>IncidenceComplications!C21*IncidenceComplications!E59</f>
        <v>35316.383872718696</v>
      </c>
      <c r="E25" s="72">
        <f>Inpatient!C64*Inpatient!M24</f>
        <v>14.539106060606059</v>
      </c>
      <c r="F25" s="68">
        <f>Inpatient!Y64/IncidenceComplications!G21</f>
        <v>1.7260000000000002</v>
      </c>
      <c r="G25" s="68">
        <f>Inpatient!AO64/IncidenceComplications!G21</f>
        <v>33.975507575757575</v>
      </c>
      <c r="H25" s="68">
        <f>Outpatient!N64</f>
        <v>42.990276136363633</v>
      </c>
      <c r="I25" s="68">
        <f>Pharmaceutical!N64</f>
        <v>8.1868257575757593</v>
      </c>
      <c r="J25" s="68">
        <f t="shared" si="0"/>
        <v>101.41771553030303</v>
      </c>
      <c r="K25" s="68">
        <f>Sick_Leave!K24/IncidenceComplications!G21</f>
        <v>0</v>
      </c>
      <c r="L25" s="78">
        <f t="shared" si="1"/>
        <v>101.41771553030303</v>
      </c>
      <c r="M25" s="49">
        <f t="shared" si="2"/>
        <v>513468.65080253448</v>
      </c>
      <c r="N25" s="49">
        <f t="shared" si="3"/>
        <v>60956.078564312476</v>
      </c>
      <c r="O25" s="49">
        <f t="shared" si="4"/>
        <v>1199892.0678159166</v>
      </c>
      <c r="P25" s="49">
        <f t="shared" si="5"/>
        <v>1518261.0948259961</v>
      </c>
      <c r="Q25" s="49">
        <f t="shared" si="6"/>
        <v>289129.08115360659</v>
      </c>
      <c r="R25" s="49">
        <f t="shared" si="7"/>
        <v>3581706.9731623661</v>
      </c>
      <c r="S25" s="49">
        <f t="shared" si="8"/>
        <v>0</v>
      </c>
      <c r="T25" s="59">
        <f t="shared" si="9"/>
        <v>3581706.9731623661</v>
      </c>
    </row>
    <row r="26" spans="1:26" x14ac:dyDescent="0.25">
      <c r="A26" s="261"/>
      <c r="B26" s="5" t="s">
        <v>2</v>
      </c>
      <c r="C26" s="217">
        <f>IncidenceComplications!C22*IncidenceComplications!E60</f>
        <v>22718.620684630347</v>
      </c>
      <c r="E26" s="72">
        <f>Inpatient!C65*Inpatient!M25</f>
        <v>14.219562130177515</v>
      </c>
      <c r="F26" s="68">
        <f>Inpatient!Y65/IncidenceComplications!G22</f>
        <v>0</v>
      </c>
      <c r="G26" s="68">
        <f>Inpatient!AO65/IncidenceComplications!G22</f>
        <v>11.957822485207101</v>
      </c>
      <c r="H26" s="68">
        <f>Outpatient!N65</f>
        <v>52.333841621301758</v>
      </c>
      <c r="I26" s="68">
        <f>Pharmaceutical!N65</f>
        <v>8.3833254437869815</v>
      </c>
      <c r="J26" s="68">
        <f t="shared" si="0"/>
        <v>86.89455168047337</v>
      </c>
      <c r="K26" s="68">
        <f>Sick_Leave!K25/IncidenceComplications!G22</f>
        <v>0</v>
      </c>
      <c r="L26" s="78">
        <f t="shared" si="1"/>
        <v>86.89455168047337</v>
      </c>
      <c r="M26" s="49">
        <f t="shared" si="2"/>
        <v>323048.83833703725</v>
      </c>
      <c r="N26" s="49">
        <f t="shared" si="3"/>
        <v>0</v>
      </c>
      <c r="O26" s="49">
        <f t="shared" si="4"/>
        <v>271665.23325556389</v>
      </c>
      <c r="P26" s="49">
        <f t="shared" si="5"/>
        <v>1188952.6967638747</v>
      </c>
      <c r="Q26" s="49">
        <f t="shared" si="6"/>
        <v>190457.59083320681</v>
      </c>
      <c r="R26" s="49">
        <f t="shared" si="7"/>
        <v>1974124.3591896829</v>
      </c>
      <c r="S26" s="49">
        <f t="shared" si="8"/>
        <v>0</v>
      </c>
      <c r="T26" s="59">
        <f t="shared" si="9"/>
        <v>1974124.3591896829</v>
      </c>
    </row>
    <row r="27" spans="1:26" x14ac:dyDescent="0.25">
      <c r="A27" s="261"/>
      <c r="B27" s="5" t="s">
        <v>3</v>
      </c>
      <c r="C27" s="217">
        <f>IncidenceComplications!C23*IncidenceComplications!E61</f>
        <v>49776.153662516539</v>
      </c>
      <c r="E27" s="72">
        <f>Inpatient!C66*Inpatient!M26</f>
        <v>7.0589036947304669</v>
      </c>
      <c r="F27" s="68">
        <f>Inpatient!Y66/IncidenceComplications!G23</f>
        <v>0</v>
      </c>
      <c r="G27" s="68">
        <f>Inpatient!AO66/IncidenceComplications!G23</f>
        <v>4.6863718958207148</v>
      </c>
      <c r="H27" s="68">
        <f>Outpatient!N66</f>
        <v>60.8052685705633</v>
      </c>
      <c r="I27" s="68">
        <f>Pharmaceutical!N66</f>
        <v>7.1283949121744392</v>
      </c>
      <c r="J27" s="68">
        <f t="shared" si="0"/>
        <v>79.67893907328893</v>
      </c>
      <c r="K27" s="68">
        <f>Sick_Leave!K26/IncidenceComplications!G23</f>
        <v>5.0737734706238653</v>
      </c>
      <c r="L27" s="78">
        <f t="shared" si="1"/>
        <v>84.752712543912793</v>
      </c>
      <c r="M27" s="49">
        <f t="shared" si="2"/>
        <v>351365.07499780948</v>
      </c>
      <c r="N27" s="49">
        <f t="shared" si="3"/>
        <v>0</v>
      </c>
      <c r="O27" s="49">
        <f t="shared" si="4"/>
        <v>233269.56760607084</v>
      </c>
      <c r="P27" s="49">
        <f t="shared" si="5"/>
        <v>3026652.3918589461</v>
      </c>
      <c r="Q27" s="49">
        <f t="shared" si="6"/>
        <v>354824.08051549597</v>
      </c>
      <c r="R27" s="49">
        <f t="shared" si="7"/>
        <v>3966111.1149783228</v>
      </c>
      <c r="S27" s="49">
        <f t="shared" si="8"/>
        <v>252552.92792257338</v>
      </c>
      <c r="T27" s="59">
        <f t="shared" si="9"/>
        <v>4218664.0429008966</v>
      </c>
    </row>
    <row r="28" spans="1:26" x14ac:dyDescent="0.25">
      <c r="A28" s="261"/>
      <c r="B28" s="5" t="s">
        <v>4</v>
      </c>
      <c r="C28" s="217">
        <f>IncidenceComplications!C24*IncidenceComplications!E62</f>
        <v>153712.0303952377</v>
      </c>
      <c r="E28" s="72">
        <f>Inpatient!C67*Inpatient!M27</f>
        <v>3.4412742882964302</v>
      </c>
      <c r="F28" s="68">
        <f>Inpatient!Y67/IncidenceComplications!G24</f>
        <v>0.44793191745744843</v>
      </c>
      <c r="G28" s="68">
        <f>Inpatient!AO67/IncidenceComplications!G24</f>
        <v>1.4766154541346588</v>
      </c>
      <c r="H28" s="68">
        <f>Outpatient!N67</f>
        <v>52.500010548275327</v>
      </c>
      <c r="I28" s="68">
        <f>Pharmaceutical!N67</f>
        <v>4.1133197770748602</v>
      </c>
      <c r="J28" s="68">
        <f t="shared" si="0"/>
        <v>61.97915198523873</v>
      </c>
      <c r="K28" s="68">
        <f>Sick_Leave!K27/IncidenceComplications!G24</f>
        <v>126.48987495119633</v>
      </c>
      <c r="L28" s="78">
        <f t="shared" si="1"/>
        <v>188.46902693643506</v>
      </c>
      <c r="M28" s="49">
        <f t="shared" si="2"/>
        <v>528965.25800097082</v>
      </c>
      <c r="N28" s="49">
        <f t="shared" si="3"/>
        <v>68852.524511216412</v>
      </c>
      <c r="O28" s="49">
        <f t="shared" si="4"/>
        <v>226973.55956802439</v>
      </c>
      <c r="P28" s="49">
        <f t="shared" si="5"/>
        <v>8069883.2171467971</v>
      </c>
      <c r="Q28" s="49">
        <f t="shared" si="6"/>
        <v>632266.73459906329</v>
      </c>
      <c r="R28" s="49">
        <f t="shared" si="7"/>
        <v>9526941.2938260734</v>
      </c>
      <c r="S28" s="49">
        <f t="shared" si="8"/>
        <v>19443015.503188107</v>
      </c>
      <c r="T28" s="59">
        <f t="shared" si="9"/>
        <v>28969956.797014177</v>
      </c>
    </row>
    <row r="29" spans="1:26" x14ac:dyDescent="0.25">
      <c r="A29" s="261"/>
      <c r="B29" s="5" t="s">
        <v>5</v>
      </c>
      <c r="C29" s="217">
        <f>IncidenceComplications!C25*IncidenceComplications!E63</f>
        <v>231905.41006158199</v>
      </c>
      <c r="E29" s="72">
        <f>Inpatient!C68*Inpatient!M28</f>
        <v>5.7480161149825788</v>
      </c>
      <c r="F29" s="68">
        <f>Inpatient!Y68/IncidenceComplications!G25</f>
        <v>1.1344250871080139</v>
      </c>
      <c r="G29" s="68">
        <f>Inpatient!AO68/IncidenceComplications!G25</f>
        <v>20.046972996515677</v>
      </c>
      <c r="H29" s="68">
        <f>Outpatient!N68</f>
        <v>51.466353965592361</v>
      </c>
      <c r="I29" s="68">
        <f>Pharmaceutical!N68</f>
        <v>5.4739220383275251</v>
      </c>
      <c r="J29" s="68">
        <f t="shared" si="0"/>
        <v>83.869690202526158</v>
      </c>
      <c r="K29" s="68">
        <f>Sick_Leave!K28/IncidenceComplications!G25</f>
        <v>300.86287239081219</v>
      </c>
      <c r="L29" s="78">
        <f t="shared" si="1"/>
        <v>384.73256259333834</v>
      </c>
      <c r="M29" s="49">
        <f t="shared" si="2"/>
        <v>1332996.0341856163</v>
      </c>
      <c r="N29" s="49">
        <f t="shared" si="3"/>
        <v>263079.31500992982</v>
      </c>
      <c r="O29" s="49">
        <f t="shared" si="4"/>
        <v>4649001.4932504296</v>
      </c>
      <c r="P29" s="49">
        <f t="shared" si="5"/>
        <v>11935325.920765223</v>
      </c>
      <c r="Q29" s="49">
        <f t="shared" si="6"/>
        <v>1269432.1349434755</v>
      </c>
      <c r="R29" s="49">
        <f t="shared" si="7"/>
        <v>19449834.898154676</v>
      </c>
      <c r="S29" s="49">
        <f t="shared" si="8"/>
        <v>69771727.794096708</v>
      </c>
      <c r="T29" s="59">
        <f t="shared" si="9"/>
        <v>89221562.692251384</v>
      </c>
    </row>
    <row r="30" spans="1:26" x14ac:dyDescent="0.25">
      <c r="A30" s="261"/>
      <c r="B30" s="6" t="s">
        <v>6</v>
      </c>
      <c r="C30" s="221">
        <f>IncidenceComplications!C26*IncidenceComplications!E64</f>
        <v>99527.127934898104</v>
      </c>
      <c r="D30" s="6"/>
      <c r="E30" s="229">
        <f>Inpatient!C69*Inpatient!M29</f>
        <v>15.47047370533922</v>
      </c>
      <c r="F30" s="75">
        <f>Inpatient!Y69/IncidenceComplications!G26</f>
        <v>1.0925291047771979</v>
      </c>
      <c r="G30" s="75">
        <f>Inpatient!AO69/IncidenceComplications!G26</f>
        <v>27.398731433159369</v>
      </c>
      <c r="H30" s="68">
        <f>Outpatient!N69</f>
        <v>61.560939883580886</v>
      </c>
      <c r="I30" s="68">
        <f>Pharmaceutical!N69</f>
        <v>5.5270734644720996</v>
      </c>
      <c r="J30" s="75">
        <f t="shared" si="0"/>
        <v>111.04974759132877</v>
      </c>
      <c r="K30" s="75">
        <f>Sick_Leave!K29/IncidenceComplications!G26</f>
        <v>66.787054383917607</v>
      </c>
      <c r="L30" s="79">
        <f t="shared" si="1"/>
        <v>177.83680197524637</v>
      </c>
      <c r="M30" s="50">
        <f t="shared" si="2"/>
        <v>1539731.8156847737</v>
      </c>
      <c r="N30" s="50">
        <f t="shared" si="3"/>
        <v>108736.28398375987</v>
      </c>
      <c r="O30" s="50">
        <f t="shared" si="4"/>
        <v>2726917.0486019668</v>
      </c>
      <c r="P30" s="50">
        <f t="shared" si="5"/>
        <v>6126983.5395857263</v>
      </c>
      <c r="Q30" s="50">
        <f t="shared" si="6"/>
        <v>550093.74780409515</v>
      </c>
      <c r="R30" s="50">
        <f t="shared" si="7"/>
        <v>11052462.435660321</v>
      </c>
      <c r="S30" s="50">
        <f t="shared" si="8"/>
        <v>6647123.7060631653</v>
      </c>
      <c r="T30" s="60">
        <f t="shared" si="9"/>
        <v>17699586.141723488</v>
      </c>
    </row>
    <row r="31" spans="1:26" ht="15.75" thickBot="1" x14ac:dyDescent="0.3">
      <c r="A31" s="262"/>
      <c r="B31" s="15" t="s">
        <v>14</v>
      </c>
      <c r="C31" s="222">
        <f>IncidenceComplications!C27*IncidenceComplications!E65</f>
        <v>649333.59492610849</v>
      </c>
      <c r="D31" s="15"/>
      <c r="E31" s="230">
        <f t="array" ref="E31">SUM(E24:E30*IncidenceComplications!$G20:$G26)/SUM(IncidenceComplications!$G20:$G26)</f>
        <v>7.3382438830140266</v>
      </c>
      <c r="F31" s="76">
        <f>Inpatient!Y70/IncidenceComplications!G27</f>
        <v>1.08909915490465</v>
      </c>
      <c r="G31" s="76">
        <f>Inpatient!AO70/IncidenceComplications!G27</f>
        <v>14.373440113269321</v>
      </c>
      <c r="H31" s="77">
        <f t="array" ref="H31">SUM(H24:H30*IncidenceComplications!$G20:$G26)/SUM(IncidenceComplications!$G20:$G26)</f>
        <v>53.123079334542723</v>
      </c>
      <c r="I31" s="77">
        <f t="array" ref="I31">SUM(I24:I30*IncidenceComplications!$G20:$G26)/SUM(IncidenceComplications!$G20:$G26)</f>
        <v>5.5125153754258651</v>
      </c>
      <c r="J31" s="77">
        <f t="shared" si="0"/>
        <v>81.436377861156586</v>
      </c>
      <c r="K31" s="77">
        <f>Sick_Leave!K30/IncidenceComplications!G27</f>
        <v>167.14456228965756</v>
      </c>
      <c r="L31" s="80">
        <f t="shared" si="1"/>
        <v>248.58094015081414</v>
      </c>
      <c r="M31" s="57">
        <f t="shared" si="2"/>
        <v>4764968.2810020233</v>
      </c>
      <c r="N31" s="57">
        <f t="shared" si="3"/>
        <v>707188.66948522313</v>
      </c>
      <c r="O31" s="57">
        <f t="shared" si="4"/>
        <v>9333157.5402042996</v>
      </c>
      <c r="P31" s="57">
        <f t="shared" si="5"/>
        <v>34494600.077843487</v>
      </c>
      <c r="Q31" s="57">
        <f t="shared" si="6"/>
        <v>3579461.4258107236</v>
      </c>
      <c r="R31" s="57">
        <f t="shared" si="7"/>
        <v>52879375.994345762</v>
      </c>
      <c r="S31" s="57">
        <f t="shared" si="8"/>
        <v>108532579.50389421</v>
      </c>
      <c r="T31" s="206">
        <f t="shared" si="9"/>
        <v>161411955.49823996</v>
      </c>
    </row>
    <row r="32" spans="1:26" ht="16.5" thickTop="1" thickBot="1" x14ac:dyDescent="0.3">
      <c r="A32" s="259" t="s">
        <v>14</v>
      </c>
      <c r="B32" s="259"/>
      <c r="C32" s="218">
        <f>IncidenceComplications!C28*IncidenceComplications!E66</f>
        <v>2832610.3090086249</v>
      </c>
      <c r="D32" s="219"/>
      <c r="E32" s="231">
        <f>(E15*IncidenceComplications!$G11+E23*IncidenceComplications!$G19+E31*IncidenceComplications!$G27)/(IncidenceComplications!$G11+IncidenceComplications!$G19+IncidenceComplications!$G27)</f>
        <v>9.7934962981732898</v>
      </c>
      <c r="F32" s="86">
        <f>Inpatient!Y71/IncidenceComplications!G28</f>
        <v>0.25663749509406969</v>
      </c>
      <c r="G32" s="86">
        <f>Inpatient!AO71/IncidenceComplications!G28</f>
        <v>12.674842866114904</v>
      </c>
      <c r="H32" s="220">
        <f>(H15*IncidenceComplications!$G11+H23*IncidenceComplications!$G19+H31*IncidenceComplications!$G27)/(IncidenceComplications!$G11+IncidenceComplications!$G19+IncidenceComplications!$G27)</f>
        <v>53.948747387125707</v>
      </c>
      <c r="I32" s="220">
        <f>(I15*IncidenceComplications!$G11+I23*IncidenceComplications!$G19+I31*IncidenceComplications!$G27)/(IncidenceComplications!$G11+IncidenceComplications!$G19+IncidenceComplications!$G27)</f>
        <v>6.230474269999684</v>
      </c>
      <c r="J32" s="220">
        <f t="shared" si="0"/>
        <v>82.90419831650766</v>
      </c>
      <c r="K32" s="220">
        <f>Sick_Leave!K31/IncidenceComplications!G28</f>
        <v>185.77990742173426</v>
      </c>
      <c r="L32" s="228">
        <f t="shared" si="1"/>
        <v>268.6841057382419</v>
      </c>
      <c r="M32" s="110">
        <f t="shared" si="2"/>
        <v>27741158.575443465</v>
      </c>
      <c r="N32" s="110">
        <f t="shared" si="3"/>
        <v>726954.01428161224</v>
      </c>
      <c r="O32" s="110">
        <f t="shared" si="4"/>
        <v>35902890.567621507</v>
      </c>
      <c r="P32" s="110">
        <f t="shared" si="5"/>
        <v>152815778.00687438</v>
      </c>
      <c r="Q32" s="110">
        <f t="shared" si="6"/>
        <v>17648505.647214092</v>
      </c>
      <c r="R32" s="110">
        <f t="shared" si="7"/>
        <v>234835286.81143507</v>
      </c>
      <c r="S32" s="110">
        <f t="shared" si="8"/>
        <v>526242080.96947241</v>
      </c>
      <c r="T32" s="232">
        <f t="shared" si="9"/>
        <v>761077367.78090739</v>
      </c>
    </row>
    <row r="33" spans="1:21" x14ac:dyDescent="0.25">
      <c r="A33" s="257" t="s">
        <v>19</v>
      </c>
      <c r="B33" s="5" t="s">
        <v>0</v>
      </c>
      <c r="C33" s="217">
        <f>IncidenceComplications!C29*IncidenceComplications!E67</f>
        <v>85026.019072088544</v>
      </c>
      <c r="E33" s="72">
        <f>(E8*IncidenceComplications!$G4+E16*IncidenceComplications!$G12+E24*IncidenceComplications!$G20)/(IncidenceComplications!$G4+IncidenceComplications!$G12+IncidenceComplications!$G20)</f>
        <v>68.78019592557591</v>
      </c>
      <c r="F33" s="68">
        <f>Inpatient!Y72/IncidenceComplications!G29</f>
        <v>3.6754518606024806</v>
      </c>
      <c r="G33" s="68">
        <f>Inpatient!AO72/IncidenceComplications!G29</f>
        <v>123.86942432132309</v>
      </c>
      <c r="H33" s="68">
        <f>(H8*IncidenceComplications!$G4+H16*IncidenceComplications!$G12+H24*IncidenceComplications!$G20)/(IncidenceComplications!$G4+IncidenceComplications!$G12+IncidenceComplications!$G20)</f>
        <v>47.985013031914008</v>
      </c>
      <c r="I33" s="68">
        <f>(I8*IncidenceComplications!$G4+I16*IncidenceComplications!$G12+I24*IncidenceComplications!$G20)/(IncidenceComplications!$G4+IncidenceComplications!$G12+IncidenceComplications!$G20)</f>
        <v>7.5977129651506212</v>
      </c>
      <c r="J33" s="68">
        <f t="shared" si="0"/>
        <v>251.90779810456613</v>
      </c>
      <c r="K33" s="68">
        <f>Sick_Leave!K32/IncidenceComplications!G29</f>
        <v>0</v>
      </c>
      <c r="L33" s="78">
        <f t="shared" si="1"/>
        <v>251.90779810456613</v>
      </c>
      <c r="M33" s="49">
        <f t="shared" si="2"/>
        <v>5848106.2505500037</v>
      </c>
      <c r="N33" s="49">
        <f t="shared" si="3"/>
        <v>312509.03999812983</v>
      </c>
      <c r="O33" s="49">
        <f t="shared" si="4"/>
        <v>10532124.034793446</v>
      </c>
      <c r="P33" s="49">
        <f t="shared" si="5"/>
        <v>4079974.6332259378</v>
      </c>
      <c r="Q33" s="49">
        <f t="shared" si="6"/>
        <v>646003.28747915116</v>
      </c>
      <c r="R33" s="49">
        <f t="shared" si="7"/>
        <v>21418717.24604667</v>
      </c>
      <c r="S33" s="49">
        <f t="shared" si="8"/>
        <v>0</v>
      </c>
      <c r="T33" s="59">
        <f t="shared" si="9"/>
        <v>21418717.24604667</v>
      </c>
    </row>
    <row r="34" spans="1:21" x14ac:dyDescent="0.25">
      <c r="A34" s="257"/>
      <c r="B34" s="5" t="s">
        <v>1</v>
      </c>
      <c r="C34" s="217">
        <f>IncidenceComplications!C30*IncidenceComplications!E68</f>
        <v>190643.68905413646</v>
      </c>
      <c r="E34" s="72">
        <f>(E9*IncidenceComplications!$G5+E17*IncidenceComplications!$G13+E25*IncidenceComplications!$G21)/(IncidenceComplications!$G5+IncidenceComplications!$G13+IncidenceComplications!$G21)</f>
        <v>21.28997266508539</v>
      </c>
      <c r="F34" s="68">
        <f>Inpatient!Y73/IncidenceComplications!G30</f>
        <v>0.47477201628716009</v>
      </c>
      <c r="G34" s="68">
        <f>Inpatient!AO73/IncidenceComplications!G30</f>
        <v>27.518489478336495</v>
      </c>
      <c r="H34" s="68">
        <f>(H9*IncidenceComplications!$G5+H17*IncidenceComplications!$G13+H25*IncidenceComplications!$G21)/(IncidenceComplications!$G5+IncidenceComplications!$G13+IncidenceComplications!$G21)</f>
        <v>46.235177717954457</v>
      </c>
      <c r="I34" s="68">
        <f>(I9*IncidenceComplications!$G5+I17*IncidenceComplications!$G13+I25*IncidenceComplications!$G21)/(IncidenceComplications!$G5+IncidenceComplications!$G13+IncidenceComplications!$G21)</f>
        <v>7.7485619070208722</v>
      </c>
      <c r="J34" s="68">
        <f t="shared" si="0"/>
        <v>103.26697378468438</v>
      </c>
      <c r="K34" s="68">
        <f>Sick_Leave!K33/IncidenceComplications!G30</f>
        <v>0</v>
      </c>
      <c r="L34" s="78">
        <f t="shared" si="1"/>
        <v>103.26697378468438</v>
      </c>
      <c r="M34" s="49">
        <f t="shared" si="2"/>
        <v>4058798.928733604</v>
      </c>
      <c r="N34" s="49">
        <f t="shared" si="3"/>
        <v>90512.288644654764</v>
      </c>
      <c r="O34" s="49">
        <f t="shared" si="4"/>
        <v>5246226.3513475088</v>
      </c>
      <c r="P34" s="49">
        <f t="shared" si="5"/>
        <v>8814444.8442244474</v>
      </c>
      <c r="Q34" s="49">
        <f t="shared" si="6"/>
        <v>1477214.4268188137</v>
      </c>
      <c r="R34" s="49">
        <f t="shared" si="7"/>
        <v>19687196.839769032</v>
      </c>
      <c r="S34" s="49">
        <f t="shared" si="8"/>
        <v>0</v>
      </c>
      <c r="T34" s="59">
        <f t="shared" si="9"/>
        <v>19687196.839769032</v>
      </c>
    </row>
    <row r="35" spans="1:21" x14ac:dyDescent="0.25">
      <c r="A35" s="257"/>
      <c r="B35" s="5" t="s">
        <v>2</v>
      </c>
      <c r="C35" s="217">
        <f>IncidenceComplications!C31*IncidenceComplications!E69</f>
        <v>135054.26461177188</v>
      </c>
      <c r="E35" s="72">
        <f>(E10*IncidenceComplications!$G6+E18*IncidenceComplications!$G14+E26*IncidenceComplications!$G22)/(IncidenceComplications!$G6+IncidenceComplications!$G14+IncidenceComplications!$G22)</f>
        <v>13.590765688271606</v>
      </c>
      <c r="F35" s="68">
        <f>Inpatient!Y74/IncidenceComplications!G31</f>
        <v>-1.3004371347736627</v>
      </c>
      <c r="G35" s="68">
        <f>Inpatient!AO74/IncidenceComplications!G31</f>
        <v>8.4911114384773647</v>
      </c>
      <c r="H35" s="68">
        <f>(H10*IncidenceComplications!$G6+H18*IncidenceComplications!$G14+H26*IncidenceComplications!$G22)/(IncidenceComplications!$G6+IncidenceComplications!$G14+IncidenceComplications!$G22)</f>
        <v>36.950191629826548</v>
      </c>
      <c r="I35" s="68">
        <f>(I10*IncidenceComplications!$G6+I18*IncidenceComplications!$G14+I26*IncidenceComplications!$G22)/(IncidenceComplications!$G6+IncidenceComplications!$G14+IncidenceComplications!$G22)</f>
        <v>7.158722271604935</v>
      </c>
      <c r="J35" s="68">
        <f t="shared" si="0"/>
        <v>64.890353893406783</v>
      </c>
      <c r="K35" s="68">
        <f>Sick_Leave!K34/IncidenceComplications!G31</f>
        <v>0</v>
      </c>
      <c r="L35" s="78">
        <f t="shared" si="1"/>
        <v>64.890353893406783</v>
      </c>
      <c r="M35" s="49">
        <f t="shared" si="2"/>
        <v>1835490.8655404234</v>
      </c>
      <c r="N35" s="49">
        <f t="shared" si="3"/>
        <v>-175629.58091069671</v>
      </c>
      <c r="O35" s="49">
        <f t="shared" si="4"/>
        <v>1146760.8110601651</v>
      </c>
      <c r="P35" s="49">
        <f t="shared" si="5"/>
        <v>4990280.9578302735</v>
      </c>
      <c r="Q35" s="49">
        <f t="shared" si="6"/>
        <v>966815.97195151763</v>
      </c>
      <c r="R35" s="49">
        <f t="shared" si="7"/>
        <v>8763719.0254716817</v>
      </c>
      <c r="S35" s="49">
        <f t="shared" si="8"/>
        <v>0</v>
      </c>
      <c r="T35" s="59">
        <f t="shared" si="9"/>
        <v>8763719.0254716817</v>
      </c>
    </row>
    <row r="36" spans="1:21" x14ac:dyDescent="0.25">
      <c r="A36" s="257"/>
      <c r="B36" s="5" t="s">
        <v>3</v>
      </c>
      <c r="C36" s="217">
        <f>IncidenceComplications!C32*IncidenceComplications!E70</f>
        <v>237501.29994200991</v>
      </c>
      <c r="E36" s="72">
        <f>(E11*IncidenceComplications!$G7+E19*IncidenceComplications!$G15+E27*IncidenceComplications!$G23)/(IncidenceComplications!$G7+IncidenceComplications!$G15+IncidenceComplications!$G23)</f>
        <v>7.78912746579417</v>
      </c>
      <c r="F36" s="68">
        <f>Inpatient!Y75/IncidenceComplications!G32</f>
        <v>0.15374025080309339</v>
      </c>
      <c r="G36" s="68">
        <f>Inpatient!AO75/IncidenceComplications!G32</f>
        <v>4.1018472386674594</v>
      </c>
      <c r="H36" s="68">
        <f>(H11*IncidenceComplications!$G7+H19*IncidenceComplications!$G15+H27*IncidenceComplications!$G23)/(IncidenceComplications!$G7+IncidenceComplications!$G15+IncidenceComplications!$G23)</f>
        <v>55.619346231590121</v>
      </c>
      <c r="I36" s="68">
        <f>(I11*IncidenceComplications!$G7+I19*IncidenceComplications!$G15+I27*IncidenceComplications!$G23)/(IncidenceComplications!$G7+IncidenceComplications!$G15+IncidenceComplications!$G23)</f>
        <v>8.5178546067816772</v>
      </c>
      <c r="J36" s="68">
        <f t="shared" si="0"/>
        <v>76.18191579363652</v>
      </c>
      <c r="K36" s="68">
        <f>Sick_Leave!K35/IncidenceComplications!G32</f>
        <v>4.6054877906008329</v>
      </c>
      <c r="L36" s="78">
        <f t="shared" si="1"/>
        <v>80.787403584237353</v>
      </c>
      <c r="M36" s="49">
        <f t="shared" si="2"/>
        <v>1849927.8985401287</v>
      </c>
      <c r="N36" s="49">
        <f t="shared" si="3"/>
        <v>36513.50941914531</v>
      </c>
      <c r="O36" s="49">
        <f t="shared" si="4"/>
        <v>974194.05134706537</v>
      </c>
      <c r="P36" s="49">
        <f t="shared" si="5"/>
        <v>13209667.031927384</v>
      </c>
      <c r="Q36" s="49">
        <f t="shared" si="6"/>
        <v>2023001.5418276859</v>
      </c>
      <c r="R36" s="49">
        <f t="shared" si="7"/>
        <v>18093304.033061408</v>
      </c>
      <c r="S36" s="49">
        <f t="shared" si="8"/>
        <v>1093809.3371347529</v>
      </c>
      <c r="T36" s="59">
        <f t="shared" si="9"/>
        <v>19187113.370196164</v>
      </c>
    </row>
    <row r="37" spans="1:21" x14ac:dyDescent="0.25">
      <c r="A37" s="257"/>
      <c r="B37" s="5" t="s">
        <v>4</v>
      </c>
      <c r="C37" s="217">
        <f>IncidenceComplications!C33*IncidenceComplications!E71</f>
        <v>605777.73974949773</v>
      </c>
      <c r="E37" s="72">
        <f>(E12*IncidenceComplications!$G8+E20*IncidenceComplications!$G16+E28*IncidenceComplications!$G24)/(IncidenceComplications!$G8+IncidenceComplications!$G16+IncidenceComplications!$G24)</f>
        <v>5.3489512122191627</v>
      </c>
      <c r="F37" s="68">
        <f>Inpatient!Y76/IncidenceComplications!G33</f>
        <v>0.25423672508879042</v>
      </c>
      <c r="G37" s="68">
        <f>Inpatient!AO76/IncidenceComplications!G33</f>
        <v>2.6430256797557758</v>
      </c>
      <c r="H37" s="68">
        <f>(H12*IncidenceComplications!$G8+H20*IncidenceComplications!$G16+H28*IncidenceComplications!$G24)/(IncidenceComplications!$G8+IncidenceComplications!$G16+IncidenceComplications!$G24)</f>
        <v>54.856837303004113</v>
      </c>
      <c r="I37" s="68">
        <f>(I12*IncidenceComplications!$G8+I20*IncidenceComplications!$G16+I28*IncidenceComplications!$G24)/(IncidenceComplications!$G8+IncidenceComplications!$G16+IncidenceComplications!$G24)</f>
        <v>4.7427258470010774</v>
      </c>
      <c r="J37" s="68">
        <f t="shared" si="0"/>
        <v>67.845776767068926</v>
      </c>
      <c r="K37" s="68">
        <f>Sick_Leave!K36/IncidenceComplications!G33</f>
        <v>138.16240213316752</v>
      </c>
      <c r="L37" s="78">
        <f t="shared" si="1"/>
        <v>206.00817890023643</v>
      </c>
      <c r="M37" s="49">
        <f t="shared" si="2"/>
        <v>3240275.5753684603</v>
      </c>
      <c r="N37" s="49">
        <f t="shared" si="3"/>
        <v>154010.94868560188</v>
      </c>
      <c r="O37" s="49">
        <f t="shared" si="4"/>
        <v>1601086.1223823337</v>
      </c>
      <c r="P37" s="49">
        <f t="shared" si="5"/>
        <v>33231050.911219765</v>
      </c>
      <c r="Q37" s="49">
        <f t="shared" si="6"/>
        <v>2873037.7438478349</v>
      </c>
      <c r="R37" s="49">
        <f t="shared" si="7"/>
        <v>41099461.301504001</v>
      </c>
      <c r="S37" s="49">
        <f t="shared" si="8"/>
        <v>83695707.682591408</v>
      </c>
      <c r="T37" s="59">
        <f t="shared" si="9"/>
        <v>124795168.98409539</v>
      </c>
    </row>
    <row r="38" spans="1:21" x14ac:dyDescent="0.25">
      <c r="A38" s="257"/>
      <c r="B38" s="5" t="s">
        <v>5</v>
      </c>
      <c r="C38" s="217">
        <f>IncidenceComplications!C34*IncidenceComplications!E72</f>
        <v>1035196.5980837295</v>
      </c>
      <c r="E38" s="72">
        <f>(E13*IncidenceComplications!$G9+E21*IncidenceComplications!$G17+E29*IncidenceComplications!$G25)/(IncidenceComplications!$G9+IncidenceComplications!$G17+IncidenceComplications!$G25)</f>
        <v>5.1522317335761807</v>
      </c>
      <c r="F38" s="68">
        <f>Inpatient!Y77/IncidenceComplications!G34</f>
        <v>0.28114477531557519</v>
      </c>
      <c r="G38" s="68">
        <f>Inpatient!AO77/IncidenceComplications!G34</f>
        <v>8.9604844447395724</v>
      </c>
      <c r="H38" s="68">
        <f>(H13*IncidenceComplications!$G9+H21*IncidenceComplications!$G17+H29*IncidenceComplications!$G25)/(IncidenceComplications!$G9+IncidenceComplications!$G17+IncidenceComplications!$G25)</f>
        <v>53.854700846947715</v>
      </c>
      <c r="I38" s="68">
        <f>(I13*IncidenceComplications!$G9+I21*IncidenceComplications!$G17+I29*IncidenceComplications!$G25)/(IncidenceComplications!$G9+IncidenceComplications!$G17+IncidenceComplications!$G25)</f>
        <v>5.9986674584503294</v>
      </c>
      <c r="J38" s="68">
        <f t="shared" si="0"/>
        <v>74.247229259029368</v>
      </c>
      <c r="K38" s="68">
        <f>Sick_Leave!K37/IncidenceComplications!G34</f>
        <v>338.7555896606471</v>
      </c>
      <c r="L38" s="78">
        <f t="shared" si="1"/>
        <v>413.00281891967649</v>
      </c>
      <c r="M38" s="49">
        <f t="shared" si="2"/>
        <v>5333572.7631370984</v>
      </c>
      <c r="N38" s="49">
        <f t="shared" si="3"/>
        <v>291040.11497569794</v>
      </c>
      <c r="O38" s="49">
        <f t="shared" si="4"/>
        <v>9275863.0143765807</v>
      </c>
      <c r="P38" s="49">
        <f t="shared" si="5"/>
        <v>55750203.10757722</v>
      </c>
      <c r="Q38" s="49">
        <f t="shared" si="6"/>
        <v>6209800.1460233526</v>
      </c>
      <c r="R38" s="49">
        <f t="shared" si="7"/>
        <v>76860479.146089941</v>
      </c>
      <c r="S38" s="49">
        <f t="shared" si="8"/>
        <v>350678633.9985497</v>
      </c>
      <c r="T38" s="59">
        <f t="shared" si="9"/>
        <v>427539113.14463967</v>
      </c>
    </row>
    <row r="39" spans="1:21" x14ac:dyDescent="0.25">
      <c r="A39" s="257"/>
      <c r="B39" s="6" t="s">
        <v>6</v>
      </c>
      <c r="C39" s="221">
        <f>IncidenceComplications!C35*IncidenceComplications!E73</f>
        <v>376770.52992216498</v>
      </c>
      <c r="D39" s="6"/>
      <c r="E39" s="229">
        <f>(E14*IncidenceComplications!$G10+E22*IncidenceComplications!$G18+E30*IncidenceComplications!$G26)/(IncidenceComplications!$G10+IncidenceComplications!$G18+IncidenceComplications!$G26)</f>
        <v>22.885985893349247</v>
      </c>
      <c r="F39" s="75">
        <f>Inpatient!Y78/IncidenceComplications!G35</f>
        <v>0.29526852555061295</v>
      </c>
      <c r="G39" s="75">
        <f>Inpatient!AO78/IncidenceComplications!G35</f>
        <v>35.294450659976128</v>
      </c>
      <c r="H39" s="75">
        <f>(H14*IncidenceComplications!$G10+H22*IncidenceComplications!$G18+H30*IncidenceComplications!$G26)/(IncidenceComplications!$G10+IncidenceComplications!$G18+IncidenceComplications!$G26)</f>
        <v>65.710789604955949</v>
      </c>
      <c r="I39" s="75">
        <f>(I14*IncidenceComplications!$G10+I22*IncidenceComplications!$G18+I30*IncidenceComplications!$G26)/(IncidenceComplications!$G10+IncidenceComplications!$G18+IncidenceComplications!$G26)</f>
        <v>7.401484843224476</v>
      </c>
      <c r="J39" s="75">
        <f t="shared" si="0"/>
        <v>131.5879795270564</v>
      </c>
      <c r="K39" s="75">
        <f>Sick_Leave!K38/IncidenceComplications!G35</f>
        <v>83.905570360768408</v>
      </c>
      <c r="L39" s="79">
        <f t="shared" si="1"/>
        <v>215.49354988782483</v>
      </c>
      <c r="M39" s="50">
        <f t="shared" si="2"/>
        <v>8622765.0328283887</v>
      </c>
      <c r="N39" s="50">
        <f t="shared" si="3"/>
        <v>111248.47884104075</v>
      </c>
      <c r="O39" s="50">
        <f t="shared" si="4"/>
        <v>13297908.878470911</v>
      </c>
      <c r="P39" s="50">
        <f t="shared" si="5"/>
        <v>24757889.021063142</v>
      </c>
      <c r="Q39" s="50">
        <f t="shared" si="6"/>
        <v>2788661.3665925581</v>
      </c>
      <c r="R39" s="50">
        <f t="shared" si="7"/>
        <v>49578472.777796037</v>
      </c>
      <c r="S39" s="50">
        <f t="shared" si="8"/>
        <v>31613146.208248213</v>
      </c>
      <c r="T39" s="60">
        <f t="shared" si="9"/>
        <v>81191618.986044258</v>
      </c>
    </row>
    <row r="40" spans="1:21" ht="15.75" thickBot="1" x14ac:dyDescent="0.3">
      <c r="A40" s="258"/>
      <c r="B40" s="15" t="s">
        <v>14</v>
      </c>
      <c r="C40" s="223">
        <f>IncidenceComplications!C36*IncidenceComplications!E74</f>
        <v>2832610.3090086249</v>
      </c>
      <c r="D40" s="67"/>
      <c r="E40" s="230">
        <f t="array" ref="E40">SUM(E33:E39*IncidenceComplications!$G29:$G35)/SUM(IncidenceComplications!$G29:$G35)</f>
        <v>9.7934962981732898</v>
      </c>
      <c r="F40" s="76">
        <f>Inpatient!Y79/IncidenceComplications!G36</f>
        <v>0.2566374950940698</v>
      </c>
      <c r="G40" s="76">
        <f>Inpatient!AO79/IncidenceComplications!G36</f>
        <v>12.674842866114904</v>
      </c>
      <c r="H40" s="77">
        <f t="array" ref="H40">SUM(H33:H39*IncidenceComplications!$G29:$G35)/SUM(IncidenceComplications!$G29:$G35)</f>
        <v>53.948747387125692</v>
      </c>
      <c r="I40" s="77">
        <f t="array" ref="I40">SUM(I33:I39*IncidenceComplications!$G29:$G35)/SUM(IncidenceComplications!$G29:$G35)</f>
        <v>6.230474269999684</v>
      </c>
      <c r="J40" s="77">
        <f t="shared" si="0"/>
        <v>82.904198316507646</v>
      </c>
      <c r="K40" s="76">
        <f>Sick_Leave!K39/IncidenceComplications!G36</f>
        <v>185.77990742173426</v>
      </c>
      <c r="L40" s="80">
        <f t="shared" si="1"/>
        <v>268.6841057382419</v>
      </c>
      <c r="M40" s="52">
        <f t="shared" si="2"/>
        <v>27741158.575443465</v>
      </c>
      <c r="N40" s="52">
        <f t="shared" si="3"/>
        <v>726954.01428161247</v>
      </c>
      <c r="O40" s="52">
        <f t="shared" si="4"/>
        <v>35902890.567621507</v>
      </c>
      <c r="P40" s="52">
        <f t="shared" si="5"/>
        <v>152815778.00687435</v>
      </c>
      <c r="Q40" s="52">
        <f t="shared" si="6"/>
        <v>17648505.647214092</v>
      </c>
      <c r="R40" s="52">
        <f t="shared" si="7"/>
        <v>234835286.81143504</v>
      </c>
      <c r="S40" s="52">
        <f t="shared" si="8"/>
        <v>526242080.96947241</v>
      </c>
      <c r="T40" s="62">
        <f t="shared" si="9"/>
        <v>761077367.78090739</v>
      </c>
      <c r="U40" s="49"/>
    </row>
    <row r="41" spans="1:21" ht="15.75" thickTop="1" x14ac:dyDescent="0.25"/>
    <row r="43" spans="1:21" x14ac:dyDescent="0.25">
      <c r="D43" s="53" t="s">
        <v>88</v>
      </c>
      <c r="E43" s="6" t="s">
        <v>82</v>
      </c>
      <c r="F43" s="224" t="s">
        <v>83</v>
      </c>
      <c r="G43" s="224" t="s">
        <v>84</v>
      </c>
      <c r="H43" s="6" t="s">
        <v>77</v>
      </c>
      <c r="I43" s="6" t="s">
        <v>78</v>
      </c>
    </row>
    <row r="44" spans="1:21" x14ac:dyDescent="0.25">
      <c r="D44" s="102" t="s">
        <v>82</v>
      </c>
      <c r="E44" s="146">
        <v>63750.411271792203</v>
      </c>
      <c r="F44" s="146">
        <v>148.44297775117701</v>
      </c>
      <c r="G44" s="146">
        <v>15290.764484351599</v>
      </c>
      <c r="H44" s="146">
        <v>1224.76995430175</v>
      </c>
      <c r="I44" s="146">
        <v>54.604200077534102</v>
      </c>
    </row>
    <row r="45" spans="1:21" x14ac:dyDescent="0.25">
      <c r="D45" s="244" t="s">
        <v>83</v>
      </c>
      <c r="E45" s="146">
        <v>148.44297775117701</v>
      </c>
      <c r="F45" s="146">
        <v>1527.65142789334</v>
      </c>
      <c r="G45" s="146">
        <v>-3.2528741326029702</v>
      </c>
      <c r="H45" s="146">
        <v>311.70815988849102</v>
      </c>
      <c r="I45" s="146">
        <v>19.0051435791733</v>
      </c>
    </row>
    <row r="46" spans="1:21" x14ac:dyDescent="0.25">
      <c r="D46" s="244" t="s">
        <v>84</v>
      </c>
      <c r="E46" s="146">
        <v>15290.764484351599</v>
      </c>
      <c r="F46" s="146">
        <v>-3.2528741326029702</v>
      </c>
      <c r="G46" s="146">
        <v>510551.24304156099</v>
      </c>
      <c r="H46" s="146">
        <v>1637.6143723610901</v>
      </c>
      <c r="I46" s="146">
        <v>283.21819766488898</v>
      </c>
    </row>
    <row r="47" spans="1:21" x14ac:dyDescent="0.25">
      <c r="D47" s="102" t="s">
        <v>77</v>
      </c>
      <c r="E47" s="146">
        <v>1224.76995430175</v>
      </c>
      <c r="F47" s="146">
        <v>311.70815988849102</v>
      </c>
      <c r="G47" s="146">
        <v>1637.6143723610901</v>
      </c>
      <c r="H47" s="146">
        <v>310933.45350701001</v>
      </c>
      <c r="I47" s="146">
        <v>1212.05725369429</v>
      </c>
    </row>
    <row r="48" spans="1:21" x14ac:dyDescent="0.25">
      <c r="D48" s="102" t="s">
        <v>78</v>
      </c>
      <c r="E48" s="146">
        <v>54.604200077534102</v>
      </c>
      <c r="F48" s="146">
        <v>19.0051435791733</v>
      </c>
      <c r="G48" s="146">
        <v>283.21819766488898</v>
      </c>
      <c r="H48" s="146">
        <v>1212.05725369429</v>
      </c>
      <c r="I48" s="146">
        <v>1460.4330692257299</v>
      </c>
    </row>
    <row r="49" spans="4:9" x14ac:dyDescent="0.25">
      <c r="H49" s="115"/>
    </row>
    <row r="50" spans="4:9" x14ac:dyDescent="0.25">
      <c r="D50" s="53" t="s">
        <v>89</v>
      </c>
      <c r="E50" s="6" t="s">
        <v>82</v>
      </c>
      <c r="F50" s="224" t="s">
        <v>83</v>
      </c>
      <c r="G50" s="224" t="s">
        <v>84</v>
      </c>
      <c r="H50" s="6" t="s">
        <v>77</v>
      </c>
      <c r="I50" s="6" t="s">
        <v>78</v>
      </c>
    </row>
    <row r="51" spans="4:9" x14ac:dyDescent="0.25">
      <c r="D51" s="102" t="s">
        <v>82</v>
      </c>
      <c r="E51" s="243">
        <v>1</v>
      </c>
      <c r="F51" s="243">
        <v>1.50420153339991E-2</v>
      </c>
      <c r="G51" s="243">
        <v>8.4755528199440405E-2</v>
      </c>
      <c r="H51" s="243">
        <v>8.6991997489991903E-3</v>
      </c>
      <c r="I51" s="243">
        <v>5.6590525226226703E-3</v>
      </c>
    </row>
    <row r="52" spans="4:9" x14ac:dyDescent="0.25">
      <c r="D52" s="244" t="s">
        <v>83</v>
      </c>
      <c r="E52" s="243">
        <v>1.50420153339991E-2</v>
      </c>
      <c r="F52" s="243">
        <v>1</v>
      </c>
      <c r="G52" s="243">
        <v>-1.16475733695437E-4</v>
      </c>
      <c r="H52" s="243">
        <v>1.43021823509093E-2</v>
      </c>
      <c r="I52" s="243">
        <v>1.27238397458233E-2</v>
      </c>
    </row>
    <row r="53" spans="4:9" x14ac:dyDescent="0.25">
      <c r="D53" s="244" t="s">
        <v>84</v>
      </c>
      <c r="E53" s="243">
        <v>8.4755528199440405E-2</v>
      </c>
      <c r="F53" s="243">
        <v>-1.16475733695437E-4</v>
      </c>
      <c r="G53" s="243">
        <v>1</v>
      </c>
      <c r="H53" s="243">
        <v>4.1101554440168796E-3</v>
      </c>
      <c r="I53" s="243">
        <v>1.0371955781856901E-2</v>
      </c>
    </row>
    <row r="54" spans="4:9" x14ac:dyDescent="0.25">
      <c r="D54" s="102" t="s">
        <v>77</v>
      </c>
      <c r="E54" s="243">
        <v>8.6991997489991903E-3</v>
      </c>
      <c r="F54" s="243">
        <v>1.43021823509093E-2</v>
      </c>
      <c r="G54" s="243">
        <v>4.1101554440168796E-3</v>
      </c>
      <c r="H54" s="243">
        <v>1</v>
      </c>
      <c r="I54" s="243">
        <v>5.68785583993697E-2</v>
      </c>
    </row>
    <row r="55" spans="4:9" x14ac:dyDescent="0.25">
      <c r="D55" s="102" t="s">
        <v>78</v>
      </c>
      <c r="E55" s="243">
        <v>5.6590525226226703E-3</v>
      </c>
      <c r="F55" s="243">
        <v>1.27238397458233E-2</v>
      </c>
      <c r="G55" s="243">
        <v>1.0371955781856901E-2</v>
      </c>
      <c r="H55" s="243">
        <v>5.68785583993697E-2</v>
      </c>
      <c r="I55" s="243">
        <v>1</v>
      </c>
    </row>
  </sheetData>
  <mergeCells count="7">
    <mergeCell ref="A33:A40"/>
    <mergeCell ref="E6:L6"/>
    <mergeCell ref="M6:R6"/>
    <mergeCell ref="A8:A15"/>
    <mergeCell ref="A16:A23"/>
    <mergeCell ref="A24:A31"/>
    <mergeCell ref="A32:B3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V82"/>
  <sheetViews>
    <sheetView zoomScale="70" zoomScaleNormal="70" workbookViewId="0">
      <selection activeCell="AS80" sqref="AS80"/>
    </sheetView>
  </sheetViews>
  <sheetFormatPr baseColWidth="10" defaultRowHeight="15" x14ac:dyDescent="0.25"/>
  <cols>
    <col min="39" max="39" width="13.5703125" bestFit="1" customWidth="1"/>
    <col min="41" max="41" width="13.5703125" bestFit="1" customWidth="1"/>
  </cols>
  <sheetData>
    <row r="3" spans="1:44" ht="15" customHeight="1" x14ac:dyDescent="0.25">
      <c r="A3" s="268" t="s">
        <v>38</v>
      </c>
      <c r="B3" s="269"/>
      <c r="C3" s="255" t="s">
        <v>34</v>
      </c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65"/>
      <c r="Q3" s="264" t="s">
        <v>22</v>
      </c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65"/>
      <c r="AE3" s="255" t="s">
        <v>23</v>
      </c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65"/>
    </row>
    <row r="4" spans="1:44" x14ac:dyDescent="0.25">
      <c r="A4" s="268"/>
      <c r="B4" s="269"/>
      <c r="C4" s="272" t="s">
        <v>39</v>
      </c>
      <c r="D4" s="271"/>
      <c r="E4" s="255" t="s">
        <v>37</v>
      </c>
      <c r="F4" s="255"/>
      <c r="G4" s="255"/>
      <c r="H4" s="255"/>
      <c r="I4" s="255"/>
      <c r="J4" s="255"/>
      <c r="K4" s="255" t="s">
        <v>30</v>
      </c>
      <c r="L4" s="255"/>
      <c r="M4" s="255"/>
      <c r="N4" s="255"/>
      <c r="O4" s="255"/>
      <c r="P4" s="255"/>
      <c r="Q4" s="270" t="s">
        <v>39</v>
      </c>
      <c r="R4" s="271"/>
      <c r="S4" s="255" t="s">
        <v>37</v>
      </c>
      <c r="T4" s="255"/>
      <c r="U4" s="255"/>
      <c r="V4" s="255"/>
      <c r="W4" s="255"/>
      <c r="X4" s="255"/>
      <c r="Y4" s="255" t="s">
        <v>30</v>
      </c>
      <c r="Z4" s="255"/>
      <c r="AA4" s="255"/>
      <c r="AB4" s="255"/>
      <c r="AC4" s="255"/>
      <c r="AD4" s="265"/>
      <c r="AE4" s="270" t="s">
        <v>39</v>
      </c>
      <c r="AF4" s="271"/>
      <c r="AG4" s="264" t="s">
        <v>37</v>
      </c>
      <c r="AH4" s="255"/>
      <c r="AI4" s="255"/>
      <c r="AJ4" s="255"/>
      <c r="AK4" s="255"/>
      <c r="AL4" s="265"/>
      <c r="AM4" s="255" t="s">
        <v>30</v>
      </c>
      <c r="AN4" s="255"/>
      <c r="AO4" s="255"/>
      <c r="AP4" s="255"/>
      <c r="AQ4" s="255"/>
      <c r="AR4" s="265"/>
    </row>
    <row r="5" spans="1:44" x14ac:dyDescent="0.25">
      <c r="A5" s="268"/>
      <c r="B5" s="269"/>
      <c r="C5" s="272"/>
      <c r="D5" s="271"/>
      <c r="E5" s="255" t="s">
        <v>26</v>
      </c>
      <c r="F5" s="265"/>
      <c r="G5" s="264" t="s">
        <v>27</v>
      </c>
      <c r="H5" s="265"/>
      <c r="I5" s="264" t="s">
        <v>28</v>
      </c>
      <c r="J5" s="265"/>
      <c r="K5" s="264" t="s">
        <v>26</v>
      </c>
      <c r="L5" s="265"/>
      <c r="M5" s="264" t="s">
        <v>27</v>
      </c>
      <c r="N5" s="265"/>
      <c r="O5" s="264" t="s">
        <v>28</v>
      </c>
      <c r="P5" s="255"/>
      <c r="Q5" s="270"/>
      <c r="R5" s="271"/>
      <c r="S5" s="255" t="s">
        <v>26</v>
      </c>
      <c r="T5" s="265"/>
      <c r="U5" s="264" t="s">
        <v>27</v>
      </c>
      <c r="V5" s="265"/>
      <c r="W5" s="264" t="s">
        <v>28</v>
      </c>
      <c r="X5" s="265"/>
      <c r="Y5" s="264" t="s">
        <v>26</v>
      </c>
      <c r="Z5" s="265"/>
      <c r="AA5" s="264" t="s">
        <v>27</v>
      </c>
      <c r="AB5" s="265"/>
      <c r="AC5" s="264" t="s">
        <v>28</v>
      </c>
      <c r="AD5" s="265"/>
      <c r="AE5" s="270"/>
      <c r="AF5" s="271"/>
      <c r="AG5" s="255" t="s">
        <v>26</v>
      </c>
      <c r="AH5" s="265"/>
      <c r="AI5" s="264" t="s">
        <v>27</v>
      </c>
      <c r="AJ5" s="265"/>
      <c r="AK5" s="264" t="s">
        <v>28</v>
      </c>
      <c r="AL5" s="265"/>
      <c r="AM5" s="264" t="s">
        <v>26</v>
      </c>
      <c r="AN5" s="265"/>
      <c r="AO5" s="264" t="s">
        <v>27</v>
      </c>
      <c r="AP5" s="265"/>
      <c r="AQ5" s="264" t="s">
        <v>28</v>
      </c>
      <c r="AR5" s="265"/>
    </row>
    <row r="6" spans="1:44" x14ac:dyDescent="0.25">
      <c r="A6" s="6" t="s">
        <v>7</v>
      </c>
      <c r="B6" s="53" t="s">
        <v>8</v>
      </c>
      <c r="C6" s="6" t="s">
        <v>24</v>
      </c>
      <c r="D6" s="6" t="s">
        <v>25</v>
      </c>
      <c r="E6" s="8" t="s">
        <v>24</v>
      </c>
      <c r="F6" s="6" t="s">
        <v>25</v>
      </c>
      <c r="G6" s="8" t="s">
        <v>24</v>
      </c>
      <c r="H6" s="6" t="s">
        <v>25</v>
      </c>
      <c r="I6" s="8" t="s">
        <v>24</v>
      </c>
      <c r="J6" s="6" t="s">
        <v>25</v>
      </c>
      <c r="K6" s="8" t="s">
        <v>24</v>
      </c>
      <c r="L6" s="6" t="s">
        <v>25</v>
      </c>
      <c r="M6" s="8" t="s">
        <v>24</v>
      </c>
      <c r="N6" s="6" t="s">
        <v>25</v>
      </c>
      <c r="O6" s="8" t="s">
        <v>24</v>
      </c>
      <c r="P6" s="6" t="s">
        <v>25</v>
      </c>
      <c r="Q6" s="8" t="s">
        <v>24</v>
      </c>
      <c r="R6" s="53" t="s">
        <v>25</v>
      </c>
      <c r="S6" s="6" t="s">
        <v>24</v>
      </c>
      <c r="T6" s="6" t="s">
        <v>25</v>
      </c>
      <c r="U6" s="8" t="s">
        <v>24</v>
      </c>
      <c r="V6" s="6" t="s">
        <v>25</v>
      </c>
      <c r="W6" s="8" t="s">
        <v>24</v>
      </c>
      <c r="X6" s="6" t="s">
        <v>25</v>
      </c>
      <c r="Y6" s="8" t="s">
        <v>24</v>
      </c>
      <c r="Z6" s="6" t="s">
        <v>25</v>
      </c>
      <c r="AA6" s="8" t="s">
        <v>24</v>
      </c>
      <c r="AB6" s="6" t="s">
        <v>25</v>
      </c>
      <c r="AC6" s="8" t="s">
        <v>24</v>
      </c>
      <c r="AD6" s="53" t="s">
        <v>25</v>
      </c>
      <c r="AE6" s="8"/>
      <c r="AF6" s="53"/>
      <c r="AG6" s="6" t="s">
        <v>24</v>
      </c>
      <c r="AH6" s="6" t="s">
        <v>25</v>
      </c>
      <c r="AI6" s="8" t="s">
        <v>24</v>
      </c>
      <c r="AJ6" s="6" t="s">
        <v>25</v>
      </c>
      <c r="AK6" s="8" t="s">
        <v>24</v>
      </c>
      <c r="AL6" s="6" t="s">
        <v>25</v>
      </c>
      <c r="AM6" s="8" t="s">
        <v>24</v>
      </c>
      <c r="AN6" s="6" t="s">
        <v>25</v>
      </c>
      <c r="AO6" s="8" t="s">
        <v>24</v>
      </c>
      <c r="AP6" s="6" t="s">
        <v>25</v>
      </c>
      <c r="AQ6" s="8" t="s">
        <v>24</v>
      </c>
      <c r="AR6" s="53" t="s">
        <v>25</v>
      </c>
    </row>
    <row r="7" spans="1:44" x14ac:dyDescent="0.25">
      <c r="A7" s="260">
        <v>2012</v>
      </c>
      <c r="B7" s="12" t="s">
        <v>0</v>
      </c>
      <c r="C7" s="2">
        <v>11</v>
      </c>
      <c r="E7" s="2">
        <v>32</v>
      </c>
      <c r="G7" s="71">
        <f t="shared" ref="G7:G39" si="0">E7/C7</f>
        <v>2.9090909090909092</v>
      </c>
      <c r="I7" s="37">
        <v>1.9211738835693899</v>
      </c>
      <c r="K7" s="43">
        <v>20684.717337999999</v>
      </c>
      <c r="M7" s="44">
        <f t="shared" ref="M7:M39" si="1">K7/C7</f>
        <v>1880.4288489090907</v>
      </c>
      <c r="O7" s="44">
        <v>1828.66803963042</v>
      </c>
      <c r="Q7" s="2">
        <v>0</v>
      </c>
      <c r="R7" s="102">
        <v>0</v>
      </c>
      <c r="S7" s="29">
        <v>0</v>
      </c>
      <c r="T7" s="29">
        <v>0</v>
      </c>
      <c r="U7" s="71"/>
      <c r="V7" s="71"/>
      <c r="W7" s="37"/>
      <c r="X7" s="37"/>
      <c r="Y7" s="58">
        <v>0</v>
      </c>
      <c r="Z7" s="51">
        <v>0</v>
      </c>
      <c r="AA7" s="51" t="str">
        <f>IF(IncidenceComplications!O4&gt;0,Y7/IncidenceComplications!O4,"")</f>
        <v/>
      </c>
      <c r="AB7" s="51" t="str">
        <f>IF(IncidenceComplications!P4&gt;0,Z7/IncidenceComplications!P4,"")</f>
        <v/>
      </c>
      <c r="AC7" s="51"/>
      <c r="AD7" s="59"/>
      <c r="AE7" s="2">
        <v>5</v>
      </c>
      <c r="AF7" s="102">
        <v>0</v>
      </c>
      <c r="AG7">
        <v>25</v>
      </c>
      <c r="AH7">
        <v>0</v>
      </c>
      <c r="AI7" s="71">
        <f t="shared" ref="AI7:AI22" si="2">AG7/AE7</f>
        <v>5</v>
      </c>
      <c r="AJ7" s="71"/>
      <c r="AK7" s="37">
        <v>1.2247448713915901</v>
      </c>
      <c r="AL7" s="37"/>
      <c r="AM7" s="54">
        <v>18394.542111999999</v>
      </c>
      <c r="AN7" s="51">
        <v>0</v>
      </c>
      <c r="AO7" s="51">
        <f>IF(AE7&gt;0,AM7/AE7,"")</f>
        <v>3678.9084223999998</v>
      </c>
      <c r="AP7" s="51"/>
      <c r="AQ7" s="49">
        <v>1894.53795456904</v>
      </c>
      <c r="AR7" s="209"/>
    </row>
    <row r="8" spans="1:44" x14ac:dyDescent="0.25">
      <c r="A8" s="261"/>
      <c r="B8" s="5" t="s">
        <v>1</v>
      </c>
      <c r="C8" s="2">
        <v>13</v>
      </c>
      <c r="E8" s="2">
        <v>45</v>
      </c>
      <c r="G8" s="71">
        <f t="shared" si="0"/>
        <v>3.4615384615384617</v>
      </c>
      <c r="I8" s="37">
        <v>1.6641005886756901</v>
      </c>
      <c r="K8" s="43">
        <v>20963.391670000001</v>
      </c>
      <c r="M8" s="44">
        <f t="shared" si="1"/>
        <v>1612.5685900000001</v>
      </c>
      <c r="O8" s="44">
        <v>523.69956237163797</v>
      </c>
      <c r="Q8" s="2">
        <v>1</v>
      </c>
      <c r="R8" s="102">
        <v>1</v>
      </c>
      <c r="S8" s="29">
        <v>3</v>
      </c>
      <c r="T8" s="29">
        <v>6</v>
      </c>
      <c r="U8" s="71">
        <f>IF(Q8&gt;0,S8/Q8,"")</f>
        <v>3</v>
      </c>
      <c r="V8" s="71">
        <f>IF(R8&gt;0,T8/R8,"")</f>
        <v>6</v>
      </c>
      <c r="W8" s="37"/>
      <c r="X8" s="37"/>
      <c r="Y8" s="54">
        <v>1613.708862</v>
      </c>
      <c r="Z8" s="51">
        <v>1824.5879150000001</v>
      </c>
      <c r="AA8" s="51">
        <f>IF(IncidenceComplications!O5&gt;0,Y8/IncidenceComplications!O5,"")</f>
        <v>1613.708862</v>
      </c>
      <c r="AB8" s="51">
        <f>IF(IncidenceComplications!P5&gt;0,Z8/IncidenceComplications!P5,"")</f>
        <v>1824.5879150000001</v>
      </c>
      <c r="AC8" s="51"/>
      <c r="AD8" s="59"/>
      <c r="AE8" s="2">
        <v>16</v>
      </c>
      <c r="AF8" s="102">
        <v>6</v>
      </c>
      <c r="AG8">
        <v>72</v>
      </c>
      <c r="AH8">
        <v>27</v>
      </c>
      <c r="AI8" s="71">
        <f t="shared" si="2"/>
        <v>4.5</v>
      </c>
      <c r="AJ8" s="71">
        <f>AH8/AF8</f>
        <v>4.5</v>
      </c>
      <c r="AK8" s="37">
        <v>1.46059348668044</v>
      </c>
      <c r="AL8" s="37">
        <v>1.87082869338697</v>
      </c>
      <c r="AM8" s="54">
        <v>45055.333373000001</v>
      </c>
      <c r="AN8" s="51">
        <v>15167.938867999999</v>
      </c>
      <c r="AO8" s="51">
        <f t="shared" ref="AO8:AO39" si="3">IF(AE8&gt;0,AM8/AE8,"")</f>
        <v>2815.9583358125001</v>
      </c>
      <c r="AP8" s="51">
        <f>IF(AF8&gt;0,AN8/AF8,"")</f>
        <v>2527.9898113333334</v>
      </c>
      <c r="AQ8" s="49">
        <v>700.45292461827796</v>
      </c>
      <c r="AR8" s="59">
        <v>200.65007877860899</v>
      </c>
    </row>
    <row r="9" spans="1:44" x14ac:dyDescent="0.25">
      <c r="A9" s="261"/>
      <c r="B9" s="5" t="s">
        <v>2</v>
      </c>
      <c r="C9" s="2">
        <v>6</v>
      </c>
      <c r="E9" s="2">
        <v>17</v>
      </c>
      <c r="G9" s="71">
        <f t="shared" si="0"/>
        <v>2.8333333333333335</v>
      </c>
      <c r="I9" s="37">
        <v>1.3291601358251299</v>
      </c>
      <c r="K9" s="43">
        <v>6259.7776690000001</v>
      </c>
      <c r="M9" s="44">
        <f t="shared" si="1"/>
        <v>1043.2962781666668</v>
      </c>
      <c r="O9" s="44">
        <v>493.40981260945102</v>
      </c>
      <c r="Q9" s="2">
        <v>0</v>
      </c>
      <c r="R9" s="102">
        <v>2</v>
      </c>
      <c r="S9">
        <v>0</v>
      </c>
      <c r="T9">
        <v>6</v>
      </c>
      <c r="U9" s="71"/>
      <c r="V9" s="71">
        <f>IF(R9&gt;0,T9/R9,"")</f>
        <v>3</v>
      </c>
      <c r="W9" s="37"/>
      <c r="X9" s="37">
        <v>0</v>
      </c>
      <c r="Y9" s="54">
        <v>0</v>
      </c>
      <c r="Z9" s="51">
        <v>4740.1412469999996</v>
      </c>
      <c r="AA9" s="51" t="str">
        <f>IF(IncidenceComplications!O6&gt;0,Y9/IncidenceComplications!O6,"")</f>
        <v/>
      </c>
      <c r="AB9" s="51">
        <f>IF(IncidenceComplications!P6&gt;0,Z9/IncidenceComplications!P6,"")</f>
        <v>2370.0706234999998</v>
      </c>
      <c r="AC9" s="51"/>
      <c r="AD9" s="59">
        <v>1161.4162052327199</v>
      </c>
      <c r="AE9" s="2">
        <v>8</v>
      </c>
      <c r="AF9" s="102">
        <v>1</v>
      </c>
      <c r="AG9">
        <v>56</v>
      </c>
      <c r="AH9">
        <v>4</v>
      </c>
      <c r="AI9" s="71">
        <f t="shared" si="2"/>
        <v>7</v>
      </c>
      <c r="AJ9" s="71">
        <f>AH9/AF9</f>
        <v>4</v>
      </c>
      <c r="AK9" s="37">
        <v>3.8172540616821098</v>
      </c>
      <c r="AL9" s="37"/>
      <c r="AM9" s="54">
        <v>21224.860111999998</v>
      </c>
      <c r="AN9" s="51">
        <v>2507.753377</v>
      </c>
      <c r="AO9" s="51">
        <f t="shared" si="3"/>
        <v>2653.1075139999998</v>
      </c>
      <c r="AP9" s="51">
        <f>IF(AF9&gt;0,AN9/AF9,"")</f>
        <v>2507.753377</v>
      </c>
      <c r="AQ9" s="49">
        <v>579.55898587269701</v>
      </c>
      <c r="AR9" s="59"/>
    </row>
    <row r="10" spans="1:44" x14ac:dyDescent="0.25">
      <c r="A10" s="261"/>
      <c r="B10" s="5" t="s">
        <v>3</v>
      </c>
      <c r="C10" s="2">
        <v>13</v>
      </c>
      <c r="E10" s="2">
        <v>57</v>
      </c>
      <c r="G10" s="71">
        <f t="shared" si="0"/>
        <v>4.384615384615385</v>
      </c>
      <c r="I10" s="37">
        <v>3.9059455009523898</v>
      </c>
      <c r="K10" s="43">
        <v>22165.564149999998</v>
      </c>
      <c r="M10" s="44">
        <f t="shared" si="1"/>
        <v>1705.0433961538461</v>
      </c>
      <c r="O10" s="44">
        <v>410.892142157264</v>
      </c>
      <c r="Q10" s="2">
        <v>0</v>
      </c>
      <c r="R10" s="102">
        <v>0</v>
      </c>
      <c r="S10" s="29">
        <v>0</v>
      </c>
      <c r="T10" s="29">
        <v>0</v>
      </c>
      <c r="U10" s="71"/>
      <c r="V10" s="71"/>
      <c r="W10" s="37"/>
      <c r="X10" s="37"/>
      <c r="Y10" s="54">
        <v>0</v>
      </c>
      <c r="Z10" s="51">
        <v>0</v>
      </c>
      <c r="AA10" s="51" t="str">
        <f>IF(IncidenceComplications!O7&gt;0,Y10/IncidenceComplications!O7,"")</f>
        <v/>
      </c>
      <c r="AB10" s="51" t="str">
        <f>IF(IncidenceComplications!P7&gt;0,Z10/IncidenceComplications!P7,"")</f>
        <v/>
      </c>
      <c r="AC10" s="51"/>
      <c r="AD10" s="59"/>
      <c r="AE10" s="2">
        <v>6</v>
      </c>
      <c r="AF10" s="102">
        <v>0</v>
      </c>
      <c r="AG10" s="9">
        <v>46</v>
      </c>
      <c r="AH10" s="9">
        <v>0</v>
      </c>
      <c r="AI10" s="71">
        <f t="shared" si="2"/>
        <v>7.666666666666667</v>
      </c>
      <c r="AJ10" s="71"/>
      <c r="AK10" s="37">
        <v>4.3204937989385703</v>
      </c>
      <c r="AL10" s="37"/>
      <c r="AM10" s="54">
        <v>13855.536701000001</v>
      </c>
      <c r="AN10" s="51">
        <v>0</v>
      </c>
      <c r="AO10" s="51">
        <f t="shared" si="3"/>
        <v>2309.2561168333336</v>
      </c>
      <c r="AP10" s="51"/>
      <c r="AQ10" s="49">
        <v>134.64716562082</v>
      </c>
      <c r="AR10" s="59"/>
    </row>
    <row r="11" spans="1:44" x14ac:dyDescent="0.25">
      <c r="A11" s="261"/>
      <c r="B11" s="5" t="s">
        <v>4</v>
      </c>
      <c r="C11" s="2">
        <v>18</v>
      </c>
      <c r="E11" s="2">
        <v>61</v>
      </c>
      <c r="G11" s="71">
        <f t="shared" si="0"/>
        <v>3.3888888888888888</v>
      </c>
      <c r="I11" s="37">
        <v>3.4151718394263102</v>
      </c>
      <c r="K11" s="43">
        <v>35295.317723</v>
      </c>
      <c r="M11" s="44">
        <f t="shared" si="1"/>
        <v>1960.850984611111</v>
      </c>
      <c r="O11" s="44">
        <v>1259.4011432945599</v>
      </c>
      <c r="Q11" s="2">
        <v>1</v>
      </c>
      <c r="R11" s="102">
        <v>1</v>
      </c>
      <c r="S11" s="29">
        <v>12</v>
      </c>
      <c r="T11" s="29">
        <v>2</v>
      </c>
      <c r="U11" s="71">
        <f>IF(Q11&gt;0,S11/Q11,"")</f>
        <v>12</v>
      </c>
      <c r="V11" s="71">
        <f>IF(R11&gt;0,T11/R11,"")</f>
        <v>2</v>
      </c>
      <c r="W11" s="37"/>
      <c r="X11" s="37"/>
      <c r="Y11" s="54">
        <v>2426.0712140000001</v>
      </c>
      <c r="Z11" s="51">
        <v>1331.7562479999999</v>
      </c>
      <c r="AA11" s="51">
        <f>IF(IncidenceComplications!O8&gt;0,Y11/IncidenceComplications!O8,"")</f>
        <v>2426.0712140000001</v>
      </c>
      <c r="AB11" s="51">
        <f>IF(IncidenceComplications!P8&gt;0,Z11/IncidenceComplications!P8,"")</f>
        <v>1331.7562479999999</v>
      </c>
      <c r="AC11" s="51"/>
      <c r="AD11" s="59"/>
      <c r="AE11" s="2">
        <v>13</v>
      </c>
      <c r="AF11" s="102">
        <v>0</v>
      </c>
      <c r="AG11" s="9">
        <v>87</v>
      </c>
      <c r="AH11" s="9">
        <v>0</v>
      </c>
      <c r="AI11" s="71">
        <f t="shared" si="2"/>
        <v>6.6923076923076925</v>
      </c>
      <c r="AJ11" s="71"/>
      <c r="AK11" s="37">
        <v>3.3760088710540899</v>
      </c>
      <c r="AL11" s="37"/>
      <c r="AM11" s="54">
        <v>28430.371233000002</v>
      </c>
      <c r="AN11" s="51">
        <v>0</v>
      </c>
      <c r="AO11" s="51">
        <f t="shared" si="3"/>
        <v>2186.9516333076926</v>
      </c>
      <c r="AP11" s="51"/>
      <c r="AQ11" s="49">
        <v>180.378170168157</v>
      </c>
      <c r="AR11" s="59"/>
    </row>
    <row r="12" spans="1:44" x14ac:dyDescent="0.25">
      <c r="A12" s="261"/>
      <c r="B12" s="5" t="s">
        <v>5</v>
      </c>
      <c r="C12" s="2">
        <v>18</v>
      </c>
      <c r="E12" s="2">
        <v>67</v>
      </c>
      <c r="G12" s="71">
        <f t="shared" si="0"/>
        <v>3.7222222222222223</v>
      </c>
      <c r="I12" s="37">
        <v>1.8725746841481199</v>
      </c>
      <c r="K12" s="43">
        <v>28715.429052</v>
      </c>
      <c r="M12" s="44">
        <f t="shared" si="1"/>
        <v>1595.301614</v>
      </c>
      <c r="O12" s="44">
        <v>936.23664873640098</v>
      </c>
      <c r="Q12" s="2">
        <v>1</v>
      </c>
      <c r="R12" s="102">
        <v>0</v>
      </c>
      <c r="S12" s="29">
        <v>4</v>
      </c>
      <c r="T12" s="29">
        <v>0</v>
      </c>
      <c r="U12" s="71">
        <f>IF(Q12&gt;0,S12/Q12,"")</f>
        <v>4</v>
      </c>
      <c r="V12" s="71"/>
      <c r="W12" s="37"/>
      <c r="X12" s="37"/>
      <c r="Y12" s="54">
        <v>1776.9611970000001</v>
      </c>
      <c r="Z12" s="51">
        <v>0</v>
      </c>
      <c r="AA12" s="51">
        <f>IF(IncidenceComplications!O9&gt;0,Y12/IncidenceComplications!O9,"")</f>
        <v>1776.9611970000001</v>
      </c>
      <c r="AB12" s="51" t="str">
        <f>IF(IncidenceComplications!P9&gt;0,Z12/IncidenceComplications!P9,"")</f>
        <v/>
      </c>
      <c r="AC12" s="51"/>
      <c r="AD12" s="59"/>
      <c r="AE12" s="2">
        <v>23</v>
      </c>
      <c r="AF12" s="102">
        <v>1</v>
      </c>
      <c r="AG12" s="9">
        <v>150</v>
      </c>
      <c r="AH12" s="9">
        <v>3</v>
      </c>
      <c r="AI12" s="71">
        <f t="shared" si="2"/>
        <v>6.5217391304347823</v>
      </c>
      <c r="AJ12" s="71">
        <f t="shared" ref="AJ12:AJ17" si="4">AH12/AF12</f>
        <v>3</v>
      </c>
      <c r="AK12" s="37">
        <v>3.1315050871221599</v>
      </c>
      <c r="AL12" s="37"/>
      <c r="AM12" s="54">
        <v>54077.857745000001</v>
      </c>
      <c r="AN12" s="51">
        <v>2181.3810600000002</v>
      </c>
      <c r="AO12" s="51">
        <f t="shared" si="3"/>
        <v>2351.2112063043478</v>
      </c>
      <c r="AP12" s="51">
        <f t="shared" ref="AP12:AP39" si="5">IF(AF12&gt;0,AN12/AF12,"")</f>
        <v>2181.3810600000002</v>
      </c>
      <c r="AQ12" s="49">
        <v>594.01465671192602</v>
      </c>
      <c r="AR12" s="59"/>
    </row>
    <row r="13" spans="1:44" x14ac:dyDescent="0.25">
      <c r="A13" s="261"/>
      <c r="B13" s="6" t="s">
        <v>6</v>
      </c>
      <c r="C13" s="2">
        <v>14</v>
      </c>
      <c r="D13" s="6"/>
      <c r="E13" s="8">
        <v>97</v>
      </c>
      <c r="F13" s="6"/>
      <c r="G13" s="39">
        <f t="shared" si="0"/>
        <v>6.9285714285714288</v>
      </c>
      <c r="H13" s="6"/>
      <c r="I13" s="39">
        <v>8.7483122391102999</v>
      </c>
      <c r="J13" s="6"/>
      <c r="K13" s="45">
        <v>47115.865962999997</v>
      </c>
      <c r="L13" s="6"/>
      <c r="M13" s="46">
        <f t="shared" si="1"/>
        <v>3365.4189973571424</v>
      </c>
      <c r="N13" s="6"/>
      <c r="O13" s="46">
        <v>5989.9968895489201</v>
      </c>
      <c r="P13" s="53"/>
      <c r="Q13" s="2">
        <v>0</v>
      </c>
      <c r="R13" s="102">
        <v>0</v>
      </c>
      <c r="S13" s="30">
        <v>0</v>
      </c>
      <c r="T13" s="30">
        <v>0</v>
      </c>
      <c r="U13" s="39"/>
      <c r="V13" s="39"/>
      <c r="W13" s="39"/>
      <c r="X13" s="38"/>
      <c r="Y13" s="55">
        <v>0</v>
      </c>
      <c r="Z13" s="50">
        <v>0</v>
      </c>
      <c r="AA13" s="50" t="str">
        <f>IF(IncidenceComplications!O10&gt;0,Y13/IncidenceComplications!O10,"")</f>
        <v/>
      </c>
      <c r="AB13" s="50" t="str">
        <f>IF(IncidenceComplications!P10&gt;0,Z13/IncidenceComplications!P10,"")</f>
        <v/>
      </c>
      <c r="AC13" s="50"/>
      <c r="AD13" s="60"/>
      <c r="AE13" s="2">
        <v>17</v>
      </c>
      <c r="AF13" s="102">
        <v>1</v>
      </c>
      <c r="AG13" s="9">
        <v>216</v>
      </c>
      <c r="AH13" s="9">
        <v>7</v>
      </c>
      <c r="AI13" s="39">
        <f t="shared" si="2"/>
        <v>12.705882352941176</v>
      </c>
      <c r="AJ13" s="39">
        <f t="shared" si="4"/>
        <v>7</v>
      </c>
      <c r="AK13" s="39">
        <v>10.4029124881109</v>
      </c>
      <c r="AL13" s="38"/>
      <c r="AM13" s="55">
        <v>80337.344528999995</v>
      </c>
      <c r="AN13" s="50">
        <v>4518.3278</v>
      </c>
      <c r="AO13" s="50">
        <f t="shared" si="3"/>
        <v>4725.7261487647056</v>
      </c>
      <c r="AP13" s="50">
        <f t="shared" si="5"/>
        <v>4518.3278</v>
      </c>
      <c r="AQ13" s="50">
        <v>5500.7239951266401</v>
      </c>
      <c r="AR13" s="60"/>
    </row>
    <row r="14" spans="1:44" ht="15.75" thickBot="1" x14ac:dyDescent="0.3">
      <c r="A14" s="262"/>
      <c r="B14" s="15" t="s">
        <v>14</v>
      </c>
      <c r="C14" s="16">
        <f>SUM(C7:C13)</f>
        <v>93</v>
      </c>
      <c r="D14" s="67"/>
      <c r="E14" s="31">
        <f>SUM(E7:E13)</f>
        <v>376</v>
      </c>
      <c r="F14" s="67"/>
      <c r="G14" s="70">
        <f t="shared" si="0"/>
        <v>4.043010752688172</v>
      </c>
      <c r="H14" s="67"/>
      <c r="I14" s="70">
        <f t="array" ref="I14">SQRT(SUM(I7:I13^2*(C7:C13-1))/(SUM(C7:C13)-7))</f>
        <v>4.1969916923794433</v>
      </c>
      <c r="J14" s="67"/>
      <c r="K14" s="112">
        <f>SUM(K7:K13)</f>
        <v>181200.06356499999</v>
      </c>
      <c r="L14" s="67"/>
      <c r="M14" s="64">
        <f t="shared" si="1"/>
        <v>1948.3877802688171</v>
      </c>
      <c r="N14" s="67"/>
      <c r="O14" s="64">
        <f t="array" ref="O14">SQRT(AVERAGE(O7:O13^2))</f>
        <v>2460.3503428064419</v>
      </c>
      <c r="P14" s="99"/>
      <c r="Q14" s="16">
        <f>SUM(Q7:Q13)</f>
        <v>3</v>
      </c>
      <c r="R14" s="212">
        <f>SUM(R7:R13)</f>
        <v>4</v>
      </c>
      <c r="S14" s="17">
        <f>SUM(S7:S13)</f>
        <v>19</v>
      </c>
      <c r="T14" s="17">
        <f>SUM(T7:T13)</f>
        <v>14</v>
      </c>
      <c r="U14" s="70">
        <f>IF(Q14&gt;0,S14/Q14,"")</f>
        <v>6.333333333333333</v>
      </c>
      <c r="V14" s="70">
        <f>IF(R14&gt;0,T14/R14,"")</f>
        <v>3.5</v>
      </c>
      <c r="W14" s="70"/>
      <c r="X14" s="113">
        <f>SQRT(AVERAGE(X9^2))</f>
        <v>0</v>
      </c>
      <c r="Y14" s="56">
        <f>SUM(Y7:Y13)</f>
        <v>5816.7412729999996</v>
      </c>
      <c r="Z14" s="52">
        <f>SUM(Z7:Z13)</f>
        <v>7896.4854099999993</v>
      </c>
      <c r="AA14" s="52">
        <f>IF(IncidenceComplications!O11&gt;0,Y14/IncidenceComplications!O11,"")</f>
        <v>1938.9137576666665</v>
      </c>
      <c r="AB14" s="52">
        <f>IF(IncidenceComplications!P11&gt;0,Z14/IncidenceComplications!P11,"")</f>
        <v>1974.1213524999998</v>
      </c>
      <c r="AC14" s="48"/>
      <c r="AD14" s="63">
        <f>AD9</f>
        <v>1161.4162052327199</v>
      </c>
      <c r="AE14" s="16">
        <f>SUM(AE7:AE13)</f>
        <v>88</v>
      </c>
      <c r="AF14" s="212">
        <f>SUM(AF7:AF13)</f>
        <v>9</v>
      </c>
      <c r="AG14" s="17">
        <f>SUM(AG7:AG13)</f>
        <v>652</v>
      </c>
      <c r="AH14" s="17">
        <f>SUM(AH7:AH13)</f>
        <v>41</v>
      </c>
      <c r="AI14" s="70">
        <f t="shared" si="2"/>
        <v>7.4090909090909092</v>
      </c>
      <c r="AJ14" s="70">
        <f t="shared" si="4"/>
        <v>4.5555555555555554</v>
      </c>
      <c r="AK14" s="70">
        <f t="array" ref="AK14">SQRT(AVERAGE(AK7:AK13^2))</f>
        <v>4.8740680693826723</v>
      </c>
      <c r="AL14" s="70">
        <f>SQRT(AVERAGE(AL8^2))</f>
        <v>1.87082869338697</v>
      </c>
      <c r="AM14" s="56">
        <f>SUM(AM7:AM13)</f>
        <v>261375.84580499999</v>
      </c>
      <c r="AN14" s="52">
        <f>SUM(AN7:AN13)</f>
        <v>24375.401104999997</v>
      </c>
      <c r="AO14" s="57">
        <f t="shared" si="3"/>
        <v>2970.1800659659089</v>
      </c>
      <c r="AP14" s="57">
        <f t="shared" si="5"/>
        <v>2708.3779005555552</v>
      </c>
      <c r="AQ14" s="52">
        <f t="array" ref="AQ14">SQRT(AVERAGE(AQ7:AQ13^2))</f>
        <v>2238.5352674540245</v>
      </c>
      <c r="AR14" s="62">
        <f>SQRT(AVERAGE(AR8^2))</f>
        <v>200.65007877860899</v>
      </c>
    </row>
    <row r="15" spans="1:44" ht="15.75" thickTop="1" x14ac:dyDescent="0.25">
      <c r="A15" s="263">
        <v>2013</v>
      </c>
      <c r="B15" s="5" t="s">
        <v>0</v>
      </c>
      <c r="C15" s="2">
        <v>21</v>
      </c>
      <c r="E15" s="2">
        <v>130</v>
      </c>
      <c r="G15" s="71">
        <f t="shared" si="0"/>
        <v>6.1904761904761907</v>
      </c>
      <c r="I15" s="37">
        <v>11.876948461701099</v>
      </c>
      <c r="K15" s="43">
        <v>86943.254363999993</v>
      </c>
      <c r="M15" s="44">
        <f t="shared" si="1"/>
        <v>4140.1549697142855</v>
      </c>
      <c r="O15" s="44">
        <v>9700.2325974037794</v>
      </c>
      <c r="Q15" s="2">
        <v>0</v>
      </c>
      <c r="R15" s="102">
        <v>0</v>
      </c>
      <c r="S15" s="29">
        <v>0</v>
      </c>
      <c r="T15" s="29">
        <v>0</v>
      </c>
      <c r="U15" s="71"/>
      <c r="V15" s="71"/>
      <c r="W15" s="37"/>
      <c r="X15" s="37"/>
      <c r="Y15" s="54">
        <v>0</v>
      </c>
      <c r="Z15" s="51">
        <v>0</v>
      </c>
      <c r="AA15" s="51" t="str">
        <f>IF(IncidenceComplications!O12&gt;0,Y15/IncidenceComplications!O12,"")</f>
        <v/>
      </c>
      <c r="AB15" s="51" t="str">
        <f>IF(IncidenceComplications!P12&gt;0,Z15/IncidenceComplications!P12,"")</f>
        <v/>
      </c>
      <c r="AC15" s="51"/>
      <c r="AD15" s="59"/>
      <c r="AE15" s="2">
        <v>16</v>
      </c>
      <c r="AF15" s="102">
        <v>5</v>
      </c>
      <c r="AG15" s="9">
        <v>198</v>
      </c>
      <c r="AH15" s="9">
        <v>25</v>
      </c>
      <c r="AI15" s="71">
        <f t="shared" si="2"/>
        <v>12.375</v>
      </c>
      <c r="AJ15" s="71">
        <f t="shared" si="4"/>
        <v>5</v>
      </c>
      <c r="AK15" s="37">
        <v>23.9217474278114</v>
      </c>
      <c r="AL15" s="37">
        <v>1.87082869338697</v>
      </c>
      <c r="AM15" s="54">
        <v>205085.63086800001</v>
      </c>
      <c r="AN15" s="51">
        <v>13769.237604</v>
      </c>
      <c r="AO15" s="51">
        <f t="shared" si="3"/>
        <v>12817.85192925</v>
      </c>
      <c r="AP15" s="51">
        <f t="shared" si="5"/>
        <v>2753.8475208</v>
      </c>
      <c r="AQ15" s="49">
        <v>37762.903547473798</v>
      </c>
      <c r="AR15" s="59">
        <v>580.89530411065903</v>
      </c>
    </row>
    <row r="16" spans="1:44" x14ac:dyDescent="0.25">
      <c r="A16" s="261"/>
      <c r="B16" s="5" t="s">
        <v>1</v>
      </c>
      <c r="C16" s="2">
        <v>51</v>
      </c>
      <c r="E16" s="2">
        <v>193</v>
      </c>
      <c r="G16" s="71">
        <f t="shared" si="0"/>
        <v>3.784313725490196</v>
      </c>
      <c r="I16" s="37">
        <v>3.4018449434987299</v>
      </c>
      <c r="K16" s="43">
        <v>94482.775464000006</v>
      </c>
      <c r="M16" s="44">
        <f t="shared" si="1"/>
        <v>1852.6034404705883</v>
      </c>
      <c r="O16" s="44">
        <v>791.44291050843196</v>
      </c>
      <c r="Q16" s="2">
        <v>2</v>
      </c>
      <c r="R16" s="102">
        <v>1</v>
      </c>
      <c r="S16" s="29">
        <v>7</v>
      </c>
      <c r="T16" s="29">
        <v>5</v>
      </c>
      <c r="U16" s="71">
        <f>IF(Q16&gt;0,S16/Q16,"")</f>
        <v>3.5</v>
      </c>
      <c r="V16" s="71">
        <f>IF(R16&gt;0,T16/R16,"")</f>
        <v>5</v>
      </c>
      <c r="W16" s="37">
        <v>2.1213203435596402</v>
      </c>
      <c r="X16" s="37"/>
      <c r="Y16" s="54">
        <v>2899.2682920000002</v>
      </c>
      <c r="Z16" s="51">
        <v>1964.251008</v>
      </c>
      <c r="AA16" s="51">
        <f>IF(IncidenceComplications!O13&gt;0,Y16/IncidenceComplications!O13,"")</f>
        <v>1449.6341460000001</v>
      </c>
      <c r="AB16" s="51">
        <f>IF(IncidenceComplications!P13&gt;0,Z16/IncidenceComplications!P13,"")</f>
        <v>1964.251008</v>
      </c>
      <c r="AC16" s="51">
        <v>147.51613303009901</v>
      </c>
      <c r="AD16" s="59"/>
      <c r="AE16" s="2">
        <v>42</v>
      </c>
      <c r="AF16" s="102">
        <v>9</v>
      </c>
      <c r="AG16" s="9">
        <v>221</v>
      </c>
      <c r="AH16" s="9">
        <v>41</v>
      </c>
      <c r="AI16" s="71">
        <f t="shared" si="2"/>
        <v>5.2619047619047619</v>
      </c>
      <c r="AJ16" s="71">
        <f t="shared" si="4"/>
        <v>4.5555555555555554</v>
      </c>
      <c r="AK16" s="37">
        <v>3.83220960148748</v>
      </c>
      <c r="AL16" s="37">
        <v>2.0069324297987201</v>
      </c>
      <c r="AM16" s="54">
        <v>121464.952104</v>
      </c>
      <c r="AN16" s="51">
        <v>22173.089147999999</v>
      </c>
      <c r="AO16" s="51">
        <f t="shared" si="3"/>
        <v>2892.022669142857</v>
      </c>
      <c r="AP16" s="51">
        <f t="shared" si="5"/>
        <v>2463.6765719999999</v>
      </c>
      <c r="AQ16" s="49">
        <v>1411.8163049140101</v>
      </c>
      <c r="AR16" s="59">
        <v>119.21778295467701</v>
      </c>
    </row>
    <row r="17" spans="1:46" x14ac:dyDescent="0.25">
      <c r="A17" s="261"/>
      <c r="B17" s="5" t="s">
        <v>2</v>
      </c>
      <c r="C17" s="2">
        <v>29</v>
      </c>
      <c r="E17" s="2">
        <v>102</v>
      </c>
      <c r="G17" s="71">
        <f t="shared" si="0"/>
        <v>3.5172413793103448</v>
      </c>
      <c r="I17" s="37">
        <v>1.5725477429766299</v>
      </c>
      <c r="K17" s="43">
        <v>47775.813576</v>
      </c>
      <c r="M17" s="44">
        <f t="shared" si="1"/>
        <v>1647.4418474482759</v>
      </c>
      <c r="O17" s="44">
        <v>478.89355844738299</v>
      </c>
      <c r="Q17" s="2">
        <v>1</v>
      </c>
      <c r="R17" s="102">
        <v>1</v>
      </c>
      <c r="S17" s="29">
        <v>7</v>
      </c>
      <c r="T17" s="29">
        <v>3</v>
      </c>
      <c r="U17" s="71">
        <f>IF(Q17&gt;0,S17/Q17,"")</f>
        <v>7</v>
      </c>
      <c r="V17" s="71">
        <f>IF(R17&gt;0,T17/R17,"")</f>
        <v>3</v>
      </c>
      <c r="W17" s="37"/>
      <c r="X17" s="37"/>
      <c r="Y17" s="54">
        <v>1498.4139479999999</v>
      </c>
      <c r="Z17" s="51">
        <v>3078.3971759999999</v>
      </c>
      <c r="AA17" s="51">
        <f>IF(IncidenceComplications!O14&gt;0,Y17/IncidenceComplications!O14,"")</f>
        <v>1498.4139479999999</v>
      </c>
      <c r="AB17" s="51">
        <f>IF(IncidenceComplications!P14&gt;0,Z17/IncidenceComplications!P14,"")</f>
        <v>3078.3971759999999</v>
      </c>
      <c r="AC17" s="51"/>
      <c r="AD17" s="59"/>
      <c r="AE17" s="2">
        <v>9</v>
      </c>
      <c r="AF17" s="102">
        <v>3</v>
      </c>
      <c r="AG17" s="9">
        <v>46</v>
      </c>
      <c r="AH17" s="9">
        <v>11</v>
      </c>
      <c r="AI17" s="71">
        <f t="shared" si="2"/>
        <v>5.1111111111111107</v>
      </c>
      <c r="AJ17" s="71">
        <f t="shared" si="4"/>
        <v>3.6666666666666665</v>
      </c>
      <c r="AK17" s="37">
        <v>2.8480012484391799</v>
      </c>
      <c r="AL17" s="37">
        <v>1.1547005383792499</v>
      </c>
      <c r="AM17" s="54">
        <v>19389.321779999998</v>
      </c>
      <c r="AN17" s="51">
        <v>6943.9869239999998</v>
      </c>
      <c r="AO17" s="51">
        <f t="shared" si="3"/>
        <v>2154.3690866666666</v>
      </c>
      <c r="AP17" s="51">
        <f t="shared" si="5"/>
        <v>2314.6623079999999</v>
      </c>
      <c r="AQ17" s="49">
        <v>906.79463368517702</v>
      </c>
      <c r="AR17" s="59">
        <v>58.865640279192</v>
      </c>
    </row>
    <row r="18" spans="1:46" x14ac:dyDescent="0.25">
      <c r="A18" s="261"/>
      <c r="B18" s="5" t="s">
        <v>3</v>
      </c>
      <c r="C18" s="2">
        <v>22</v>
      </c>
      <c r="E18" s="2">
        <v>59</v>
      </c>
      <c r="G18" s="71">
        <f t="shared" si="0"/>
        <v>2.6818181818181817</v>
      </c>
      <c r="I18" s="37">
        <v>1.3933981633253401</v>
      </c>
      <c r="K18" s="43">
        <v>31647.802199999998</v>
      </c>
      <c r="M18" s="44">
        <f t="shared" si="1"/>
        <v>1438.5364636363636</v>
      </c>
      <c r="O18" s="44">
        <v>546.43783608094805</v>
      </c>
      <c r="Q18" s="2">
        <v>1</v>
      </c>
      <c r="R18" s="102">
        <v>0</v>
      </c>
      <c r="S18" s="29">
        <v>3</v>
      </c>
      <c r="T18" s="29">
        <v>0</v>
      </c>
      <c r="U18" s="71">
        <f>IF(Q18&gt;0,S18/Q18,"")</f>
        <v>3</v>
      </c>
      <c r="V18" s="71"/>
      <c r="W18" s="37"/>
      <c r="X18" s="37"/>
      <c r="Y18" s="54">
        <v>1292.1868079999999</v>
      </c>
      <c r="Z18" s="51">
        <v>0</v>
      </c>
      <c r="AA18" s="51">
        <f>IF(IncidenceComplications!O15&gt;0,Y18/IncidenceComplications!O15,"")</f>
        <v>1292.1868079999999</v>
      </c>
      <c r="AB18" s="51" t="str">
        <f>IF(IncidenceComplications!P15&gt;0,Z18/IncidenceComplications!P15,"")</f>
        <v/>
      </c>
      <c r="AC18" s="51"/>
      <c r="AD18" s="59"/>
      <c r="AE18" s="2">
        <v>5</v>
      </c>
      <c r="AF18" s="102">
        <v>0</v>
      </c>
      <c r="AG18" s="9">
        <v>23</v>
      </c>
      <c r="AH18" s="9">
        <v>0</v>
      </c>
      <c r="AI18" s="71">
        <f t="shared" si="2"/>
        <v>4.5999999999999996</v>
      </c>
      <c r="AJ18" s="71"/>
      <c r="AK18" s="37">
        <v>1.51657508881031</v>
      </c>
      <c r="AL18" s="37"/>
      <c r="AM18" s="54">
        <v>12883.289339999999</v>
      </c>
      <c r="AN18" s="51">
        <v>0</v>
      </c>
      <c r="AO18" s="51">
        <f t="shared" si="3"/>
        <v>2576.6578679999998</v>
      </c>
      <c r="AP18" s="51" t="str">
        <f t="shared" si="5"/>
        <v/>
      </c>
      <c r="AQ18" s="49">
        <v>746.65948246165897</v>
      </c>
      <c r="AR18" s="59"/>
    </row>
    <row r="19" spans="1:46" x14ac:dyDescent="0.25">
      <c r="A19" s="261"/>
      <c r="B19" s="5" t="s">
        <v>4</v>
      </c>
      <c r="C19" s="2">
        <v>38</v>
      </c>
      <c r="E19" s="2">
        <v>160</v>
      </c>
      <c r="G19" s="71">
        <f t="shared" si="0"/>
        <v>4.2105263157894735</v>
      </c>
      <c r="I19" s="37">
        <v>5.1525794890695904</v>
      </c>
      <c r="K19" s="43">
        <v>75897.430703999999</v>
      </c>
      <c r="M19" s="44">
        <f t="shared" si="1"/>
        <v>1997.300808</v>
      </c>
      <c r="O19" s="44">
        <v>3986.2372283805298</v>
      </c>
      <c r="Q19" s="2">
        <v>3</v>
      </c>
      <c r="R19" s="102">
        <v>1</v>
      </c>
      <c r="S19" s="29">
        <v>8</v>
      </c>
      <c r="T19" s="29">
        <v>2</v>
      </c>
      <c r="U19" s="71">
        <f>IF(Q19&gt;0,S19/Q19,"")</f>
        <v>2.6666666666666665</v>
      </c>
      <c r="V19" s="71">
        <f>IF(R19&gt;0,T19/R19,"")</f>
        <v>2</v>
      </c>
      <c r="W19" s="37">
        <v>1.1547005383792499</v>
      </c>
      <c r="X19" s="37"/>
      <c r="Y19" s="54">
        <v>4290.4558919999999</v>
      </c>
      <c r="Z19" s="51">
        <v>1987.6727639999999</v>
      </c>
      <c r="AA19" s="51">
        <f>IF(IncidenceComplications!O16&gt;0,Y19/IncidenceComplications!O16,"")</f>
        <v>1430.1519639999999</v>
      </c>
      <c r="AB19" s="51">
        <f>IF(IncidenceComplications!P16&gt;0,Z19/IncidenceComplications!P16,"")</f>
        <v>1987.6727639999999</v>
      </c>
      <c r="AC19" s="51">
        <v>308.88840196524802</v>
      </c>
      <c r="AD19" s="59"/>
      <c r="AE19" s="2">
        <v>12</v>
      </c>
      <c r="AF19" s="102">
        <v>3</v>
      </c>
      <c r="AG19" s="9">
        <v>83</v>
      </c>
      <c r="AH19" s="9">
        <v>9</v>
      </c>
      <c r="AI19" s="71">
        <f t="shared" si="2"/>
        <v>6.916666666666667</v>
      </c>
      <c r="AJ19" s="71">
        <f>AH19/AF19</f>
        <v>3</v>
      </c>
      <c r="AK19" s="37">
        <v>4.9259670639531796</v>
      </c>
      <c r="AL19" s="37">
        <v>3</v>
      </c>
      <c r="AM19" s="54">
        <v>33129.176796</v>
      </c>
      <c r="AN19" s="51">
        <v>5131.2175200000001</v>
      </c>
      <c r="AO19" s="51">
        <f t="shared" si="3"/>
        <v>2760.764733</v>
      </c>
      <c r="AP19" s="51">
        <f t="shared" si="5"/>
        <v>1710.4058400000001</v>
      </c>
      <c r="AQ19" s="49">
        <v>1977.5903021167601</v>
      </c>
      <c r="AR19" s="59">
        <v>859.09135273991797</v>
      </c>
    </row>
    <row r="20" spans="1:46" x14ac:dyDescent="0.25">
      <c r="A20" s="261"/>
      <c r="B20" s="5" t="s">
        <v>5</v>
      </c>
      <c r="C20" s="2">
        <v>71</v>
      </c>
      <c r="E20" s="2">
        <v>331</v>
      </c>
      <c r="G20" s="71">
        <f t="shared" si="0"/>
        <v>4.6619718309859151</v>
      </c>
      <c r="I20" s="37">
        <v>3.79452109521772</v>
      </c>
      <c r="K20" s="43">
        <v>122167.663608</v>
      </c>
      <c r="M20" s="44">
        <f t="shared" si="1"/>
        <v>1720.6713184225353</v>
      </c>
      <c r="O20" s="44">
        <v>1026.89506022365</v>
      </c>
      <c r="Q20" s="2">
        <v>4</v>
      </c>
      <c r="R20" s="102">
        <v>3</v>
      </c>
      <c r="S20" s="29">
        <v>14</v>
      </c>
      <c r="T20" s="29">
        <v>15</v>
      </c>
      <c r="U20" s="71">
        <f>IF(Q20&gt;0,S20/Q20,"")</f>
        <v>3.5</v>
      </c>
      <c r="V20" s="71">
        <f>IF(R20&gt;0,T20/R20,"")</f>
        <v>5</v>
      </c>
      <c r="W20" s="37">
        <v>2.6457513110645898</v>
      </c>
      <c r="X20" s="37">
        <v>1.7320508075688801</v>
      </c>
      <c r="Y20" s="54">
        <v>5280.8755799999999</v>
      </c>
      <c r="Z20" s="51">
        <v>6362.4626639999997</v>
      </c>
      <c r="AA20" s="51">
        <f>IF(IncidenceComplications!O17&gt;0,Y20/IncidenceComplications!O17,"")</f>
        <v>1320.218895</v>
      </c>
      <c r="AB20" s="51">
        <f>IF(IncidenceComplications!P17&gt;0,Z20/IncidenceComplications!P17,"")</f>
        <v>2120.8208879999997</v>
      </c>
      <c r="AC20" s="51">
        <v>855.99411573714895</v>
      </c>
      <c r="AD20" s="59">
        <v>792.99109157055102</v>
      </c>
      <c r="AE20" s="2">
        <v>41</v>
      </c>
      <c r="AF20" s="102">
        <v>4</v>
      </c>
      <c r="AG20" s="9">
        <v>380</v>
      </c>
      <c r="AH20" s="9">
        <v>29</v>
      </c>
      <c r="AI20" s="71">
        <f t="shared" si="2"/>
        <v>9.2682926829268286</v>
      </c>
      <c r="AJ20" s="71">
        <f>AH20/AF20</f>
        <v>7.25</v>
      </c>
      <c r="AK20" s="37">
        <v>9.0664888193939301</v>
      </c>
      <c r="AL20" s="37">
        <v>1.7078251276599301</v>
      </c>
      <c r="AM20" s="54">
        <v>129869.627184</v>
      </c>
      <c r="AN20" s="51">
        <v>11660.593284</v>
      </c>
      <c r="AO20" s="51">
        <f t="shared" si="3"/>
        <v>3167.5518825365853</v>
      </c>
      <c r="AP20" s="51">
        <f t="shared" si="5"/>
        <v>2915.1483210000001</v>
      </c>
      <c r="AQ20" s="49">
        <v>3332.04338811355</v>
      </c>
      <c r="AR20" s="59">
        <v>802.68298092669295</v>
      </c>
    </row>
    <row r="21" spans="1:46" x14ac:dyDescent="0.25">
      <c r="A21" s="261"/>
      <c r="B21" s="6" t="s">
        <v>6</v>
      </c>
      <c r="C21" s="2">
        <v>49</v>
      </c>
      <c r="D21" s="6"/>
      <c r="E21" s="8">
        <v>333</v>
      </c>
      <c r="F21" s="6"/>
      <c r="G21" s="39">
        <f t="shared" si="0"/>
        <v>6.795918367346939</v>
      </c>
      <c r="H21" s="6"/>
      <c r="I21" s="39">
        <v>5.1071012319316003</v>
      </c>
      <c r="J21" s="6"/>
      <c r="K21" s="45">
        <v>125287.316016</v>
      </c>
      <c r="L21" s="6"/>
      <c r="M21" s="46">
        <f t="shared" si="1"/>
        <v>2556.8840003265304</v>
      </c>
      <c r="N21" s="6"/>
      <c r="O21" s="46">
        <v>3734.5001409542101</v>
      </c>
      <c r="P21" s="53"/>
      <c r="Q21" s="2">
        <v>0</v>
      </c>
      <c r="R21" s="102">
        <v>0</v>
      </c>
      <c r="S21" s="29">
        <v>0</v>
      </c>
      <c r="T21" s="29">
        <v>0</v>
      </c>
      <c r="U21" s="39"/>
      <c r="V21" s="39"/>
      <c r="W21" s="39"/>
      <c r="X21" s="38"/>
      <c r="Y21" s="55">
        <v>0</v>
      </c>
      <c r="Z21" s="50">
        <v>0</v>
      </c>
      <c r="AA21" s="50" t="str">
        <f>IF(IncidenceComplications!O18&gt;0,Y21/IncidenceComplications!O18,"")</f>
        <v/>
      </c>
      <c r="AB21" s="50" t="str">
        <f>IF(IncidenceComplications!P18&gt;0,Z21/IncidenceComplications!P18,"")</f>
        <v/>
      </c>
      <c r="AC21" s="50"/>
      <c r="AD21" s="60"/>
      <c r="AE21" s="2">
        <v>50</v>
      </c>
      <c r="AF21" s="102">
        <v>5</v>
      </c>
      <c r="AG21" s="9">
        <v>549</v>
      </c>
      <c r="AH21" s="9">
        <v>37</v>
      </c>
      <c r="AI21" s="39">
        <f t="shared" si="2"/>
        <v>10.98</v>
      </c>
      <c r="AJ21" s="39">
        <f>AH21/AF21</f>
        <v>7.4</v>
      </c>
      <c r="AK21" s="39">
        <v>6.8556248319708004</v>
      </c>
      <c r="AL21" s="38">
        <v>3.7815340802378099</v>
      </c>
      <c r="AM21" s="55">
        <v>193488.047892</v>
      </c>
      <c r="AN21" s="50">
        <v>12248.352887999999</v>
      </c>
      <c r="AO21" s="50">
        <f t="shared" si="3"/>
        <v>3869.7609578400002</v>
      </c>
      <c r="AP21" s="50">
        <f t="shared" si="5"/>
        <v>2449.6705775999999</v>
      </c>
      <c r="AQ21" s="50">
        <v>5368.9481345290196</v>
      </c>
      <c r="AR21" s="60">
        <v>565.39103598226097</v>
      </c>
    </row>
    <row r="22" spans="1:46" ht="15.75" thickBot="1" x14ac:dyDescent="0.3">
      <c r="A22" s="262"/>
      <c r="B22" s="15" t="s">
        <v>14</v>
      </c>
      <c r="C22" s="16">
        <f>SUM(C15:C21)</f>
        <v>281</v>
      </c>
      <c r="D22" s="67"/>
      <c r="E22" s="31">
        <f>SUM(E15:E21)</f>
        <v>1308</v>
      </c>
      <c r="F22" s="67"/>
      <c r="G22" s="70">
        <f t="shared" si="0"/>
        <v>4.6548042704626331</v>
      </c>
      <c r="H22" s="67"/>
      <c r="I22" s="70">
        <f t="array" ref="I22">SQRT(SUM(I15:I21^2*(C15:C21-1))/(SUM(C15:C21)-7))</f>
        <v>4.9641201504617403</v>
      </c>
      <c r="J22" s="67"/>
      <c r="K22" s="112">
        <f>SUM(K15:K21)</f>
        <v>584202.05593200005</v>
      </c>
      <c r="L22" s="67"/>
      <c r="M22" s="64">
        <f t="shared" si="1"/>
        <v>2079.0108752028473</v>
      </c>
      <c r="N22" s="67"/>
      <c r="O22" s="64">
        <f t="array" ref="O22">SQRT(AVERAGE(O15:O21^2))</f>
        <v>4244.9957038810135</v>
      </c>
      <c r="P22" s="99"/>
      <c r="Q22" s="16">
        <f>SUM(Q15:Q21)</f>
        <v>11</v>
      </c>
      <c r="R22" s="212">
        <f>SUM(R15:R21)</f>
        <v>6</v>
      </c>
      <c r="S22" s="17">
        <f>SUM(S15:S21)</f>
        <v>39</v>
      </c>
      <c r="T22" s="17">
        <f>SUM(T15:T21)</f>
        <v>25</v>
      </c>
      <c r="U22" s="70">
        <f>IF(Q22&gt;0,S22/Q22,"")</f>
        <v>3.5454545454545454</v>
      </c>
      <c r="V22" s="70">
        <f>IF(R22&gt;0,T22/R22,"")</f>
        <v>4.166666666666667</v>
      </c>
      <c r="W22" s="70">
        <f>SQRT(AVERAGE(W16^2,W19^2,W20^2))</f>
        <v>2.0682789409984745</v>
      </c>
      <c r="X22" s="70">
        <f>SQRT(AVERAGE(X20^2))</f>
        <v>1.7320508075688801</v>
      </c>
      <c r="Y22" s="56">
        <f>SUM(Y15:Y21)</f>
        <v>15261.20052</v>
      </c>
      <c r="Z22" s="52">
        <f>SUM(Z15:Z21)</f>
        <v>13392.783611999999</v>
      </c>
      <c r="AA22" s="52">
        <f>IF(IncidenceComplications!O19&gt;0,Y22/IncidenceComplications!O19,"")</f>
        <v>1387.3818654545455</v>
      </c>
      <c r="AB22" s="52">
        <f>IF(IncidenceComplications!P19&gt;0,Z22/IncidenceComplications!P19,"")</f>
        <v>2232.1306019999997</v>
      </c>
      <c r="AC22" s="52">
        <f>SQRT(AVERAGE(AC16^2,AC19^2,AC20^2))</f>
        <v>532.25901606561888</v>
      </c>
      <c r="AD22" s="62">
        <f>AD20</f>
        <v>792.99109157055102</v>
      </c>
      <c r="AE22" s="16">
        <f>SUM(AE15:AE21)</f>
        <v>175</v>
      </c>
      <c r="AF22" s="212">
        <f>SUM(AF15:AF21)</f>
        <v>29</v>
      </c>
      <c r="AG22" s="17">
        <f>SUM(AG15:AG21)</f>
        <v>1500</v>
      </c>
      <c r="AH22" s="17">
        <f>SUM(AH15:AH21)</f>
        <v>152</v>
      </c>
      <c r="AI22" s="70">
        <f t="shared" si="2"/>
        <v>8.5714285714285712</v>
      </c>
      <c r="AJ22" s="70">
        <f>AH22/AF22</f>
        <v>5.2413793103448274</v>
      </c>
      <c r="AK22" s="70">
        <f t="array" ref="AK22">SQRT(AVERAGE(AK15:AK21^2))</f>
        <v>10.356591444271659</v>
      </c>
      <c r="AL22" s="70">
        <f>SQRT(AVERAGE(AL15^2,AL16^2,AL17^2,AL19^2,AL20^2,AL21^2))</f>
        <v>2.4179115567564291</v>
      </c>
      <c r="AM22" s="56">
        <f>SUM(AM15:AM21)</f>
        <v>715310.04596400005</v>
      </c>
      <c r="AN22" s="52">
        <f>SUM(AN15:AN21)</f>
        <v>71926.477367999993</v>
      </c>
      <c r="AO22" s="57">
        <f t="shared" si="3"/>
        <v>4087.4859769371433</v>
      </c>
      <c r="AP22" s="57">
        <f t="shared" si="5"/>
        <v>2480.2233575172413</v>
      </c>
      <c r="AQ22" s="52">
        <f t="array" ref="AQ22">SQRT(AVERAGE(AQ15:AQ21^2))</f>
        <v>14507.381702920466</v>
      </c>
      <c r="AR22" s="62">
        <f>SQRT(AVERAGE(AR15^2,AR16^2,AR17^2,AR19^2,AR20^2,AR21^2))</f>
        <v>585.53712400195445</v>
      </c>
    </row>
    <row r="23" spans="1:46" ht="15.75" thickTop="1" x14ac:dyDescent="0.25">
      <c r="A23" s="263">
        <v>2014</v>
      </c>
      <c r="B23" s="5" t="s">
        <v>0</v>
      </c>
      <c r="C23" s="2">
        <v>6</v>
      </c>
      <c r="E23" s="2">
        <v>12</v>
      </c>
      <c r="G23" s="71">
        <f t="shared" si="0"/>
        <v>2</v>
      </c>
      <c r="I23" s="37">
        <v>1.5491933384829699</v>
      </c>
      <c r="K23" s="43">
        <v>8816.9</v>
      </c>
      <c r="M23" s="44">
        <f t="shared" si="1"/>
        <v>1469.4833333333333</v>
      </c>
      <c r="O23" s="44">
        <v>781.33760909524005</v>
      </c>
      <c r="Q23" s="2">
        <v>4</v>
      </c>
      <c r="R23" s="102">
        <v>0</v>
      </c>
      <c r="S23" s="29">
        <v>14</v>
      </c>
      <c r="T23" s="29">
        <v>0</v>
      </c>
      <c r="U23" s="71">
        <f>IF(Q23&gt;0,S23/Q23,"")</f>
        <v>3.5</v>
      </c>
      <c r="V23" s="71"/>
      <c r="W23" s="37">
        <v>2.3804761428476202</v>
      </c>
      <c r="X23" s="37"/>
      <c r="Y23" s="54">
        <v>6222.54</v>
      </c>
      <c r="Z23" s="51">
        <v>0</v>
      </c>
      <c r="AA23" s="51">
        <f>IF(IncidenceComplications!O20&gt;0,Y23/IncidenceComplications!O20,"")</f>
        <v>1555.635</v>
      </c>
      <c r="AB23" s="51" t="str">
        <f>IF(IncidenceComplications!P20&gt;0,Z23/IncidenceComplications!P20,"")</f>
        <v/>
      </c>
      <c r="AC23" s="51">
        <v>495.50485503844101</v>
      </c>
      <c r="AD23" s="59"/>
      <c r="AE23" s="2">
        <v>0</v>
      </c>
      <c r="AF23" s="102">
        <v>0</v>
      </c>
      <c r="AG23" s="9">
        <v>0</v>
      </c>
      <c r="AH23" s="9">
        <v>0</v>
      </c>
      <c r="AI23" s="71"/>
      <c r="AJ23" s="71"/>
      <c r="AK23" s="37"/>
      <c r="AL23" s="37"/>
      <c r="AM23" s="54">
        <v>0</v>
      </c>
      <c r="AN23" s="51">
        <v>0</v>
      </c>
      <c r="AO23" s="51" t="str">
        <f t="shared" si="3"/>
        <v/>
      </c>
      <c r="AP23" s="51" t="str">
        <f t="shared" si="5"/>
        <v/>
      </c>
      <c r="AQ23" s="49"/>
      <c r="AR23" s="59"/>
    </row>
    <row r="24" spans="1:46" x14ac:dyDescent="0.25">
      <c r="A24" s="261"/>
      <c r="B24" s="5" t="s">
        <v>1</v>
      </c>
      <c r="C24" s="2">
        <v>9</v>
      </c>
      <c r="E24" s="2">
        <v>39</v>
      </c>
      <c r="G24" s="71">
        <f t="shared" si="0"/>
        <v>4.333333333333333</v>
      </c>
      <c r="I24" s="37">
        <v>2.5</v>
      </c>
      <c r="K24" s="43">
        <v>19191.62</v>
      </c>
      <c r="M24" s="44">
        <f t="shared" si="1"/>
        <v>2132.402222222222</v>
      </c>
      <c r="O24" s="44">
        <v>497.54378585652597</v>
      </c>
      <c r="Q24" s="2">
        <v>1</v>
      </c>
      <c r="R24" s="102">
        <v>1</v>
      </c>
      <c r="S24" s="29">
        <v>9</v>
      </c>
      <c r="T24" s="29">
        <v>3</v>
      </c>
      <c r="U24" s="71">
        <f>IF(Q24&gt;0,S24/Q24,"")</f>
        <v>9</v>
      </c>
      <c r="V24" s="71">
        <f>IF(R24&gt;0,T24/R24,"")</f>
        <v>3</v>
      </c>
      <c r="W24" s="37"/>
      <c r="X24" s="37"/>
      <c r="Y24" s="54">
        <v>3906.03</v>
      </c>
      <c r="Z24" s="51">
        <v>1627.71</v>
      </c>
      <c r="AA24" s="51">
        <f>IF(IncidenceComplications!O21&gt;0,Y24/IncidenceComplications!O21,"")</f>
        <v>3906.03</v>
      </c>
      <c r="AB24" s="51">
        <f>IF(IncidenceComplications!P21&gt;0,Z24/IncidenceComplications!P21,"")</f>
        <v>1627.71</v>
      </c>
      <c r="AC24" s="51"/>
      <c r="AD24" s="59"/>
      <c r="AE24" s="2">
        <v>18</v>
      </c>
      <c r="AF24" s="102">
        <v>1</v>
      </c>
      <c r="AG24" s="9">
        <v>89</v>
      </c>
      <c r="AH24" s="9">
        <v>3</v>
      </c>
      <c r="AI24" s="71">
        <f>AG24/AE24</f>
        <v>4.9444444444444446</v>
      </c>
      <c r="AJ24" s="71">
        <f>AH24/AF24</f>
        <v>3</v>
      </c>
      <c r="AK24" s="37">
        <v>2.4608038433722301</v>
      </c>
      <c r="AL24" s="37"/>
      <c r="AM24" s="54">
        <v>47402.75</v>
      </c>
      <c r="AN24" s="51">
        <v>2555.08</v>
      </c>
      <c r="AO24" s="51">
        <f t="shared" si="3"/>
        <v>2633.4861111111113</v>
      </c>
      <c r="AP24" s="51">
        <f t="shared" si="5"/>
        <v>2555.08</v>
      </c>
      <c r="AQ24" s="49">
        <v>499.03762422273297</v>
      </c>
      <c r="AR24" s="59"/>
    </row>
    <row r="25" spans="1:46" x14ac:dyDescent="0.25">
      <c r="A25" s="261"/>
      <c r="B25" s="5" t="s">
        <v>2</v>
      </c>
      <c r="C25" s="2">
        <v>6</v>
      </c>
      <c r="E25" s="2">
        <v>30</v>
      </c>
      <c r="G25" s="71">
        <f t="shared" si="0"/>
        <v>5</v>
      </c>
      <c r="I25" s="37">
        <v>2.5298221281347</v>
      </c>
      <c r="K25" s="43">
        <v>12015.53</v>
      </c>
      <c r="M25" s="44">
        <f t="shared" si="1"/>
        <v>2002.5883333333334</v>
      </c>
      <c r="O25" s="44">
        <v>581.69480057558201</v>
      </c>
      <c r="Q25" s="2">
        <v>0</v>
      </c>
      <c r="R25" s="102">
        <v>0</v>
      </c>
      <c r="S25" s="29">
        <v>0</v>
      </c>
      <c r="T25" s="29">
        <v>0</v>
      </c>
      <c r="U25" s="71"/>
      <c r="V25" s="71"/>
      <c r="W25" s="37"/>
      <c r="X25" s="37"/>
      <c r="Y25" s="54">
        <v>0</v>
      </c>
      <c r="Z25" s="51">
        <v>0</v>
      </c>
      <c r="AA25" s="51" t="str">
        <f>IF(IncidenceComplications!O22&gt;0,Y25/IncidenceComplications!O22,"")</f>
        <v/>
      </c>
      <c r="AB25" s="51" t="str">
        <f>IF(IncidenceComplications!P22&gt;0,Z25/IncidenceComplications!P22,"")</f>
        <v/>
      </c>
      <c r="AC25" s="51"/>
      <c r="AD25" s="59"/>
      <c r="AE25" s="2">
        <v>4</v>
      </c>
      <c r="AF25" s="102">
        <v>0</v>
      </c>
      <c r="AG25" s="9">
        <v>22</v>
      </c>
      <c r="AH25" s="9">
        <v>0</v>
      </c>
      <c r="AI25" s="71">
        <f t="shared" ref="AI25:AI39" si="6">AG25/AE25</f>
        <v>5.5</v>
      </c>
      <c r="AJ25" s="71"/>
      <c r="AK25" s="37">
        <v>5.0662280511902198</v>
      </c>
      <c r="AL25" s="37"/>
      <c r="AM25" s="54">
        <v>10104.36</v>
      </c>
      <c r="AN25" s="51">
        <v>0</v>
      </c>
      <c r="AO25" s="51">
        <f t="shared" si="3"/>
        <v>2526.09</v>
      </c>
      <c r="AP25" s="51" t="str">
        <f t="shared" si="5"/>
        <v/>
      </c>
      <c r="AQ25" s="49">
        <v>53.713926189273003</v>
      </c>
      <c r="AR25" s="59"/>
    </row>
    <row r="26" spans="1:46" x14ac:dyDescent="0.25">
      <c r="A26" s="261"/>
      <c r="B26" s="5" t="s">
        <v>3</v>
      </c>
      <c r="C26" s="2">
        <v>7</v>
      </c>
      <c r="E26" s="2">
        <v>25</v>
      </c>
      <c r="G26" s="71">
        <f t="shared" si="0"/>
        <v>3.5714285714285716</v>
      </c>
      <c r="I26" s="37">
        <v>2.4397501823713301</v>
      </c>
      <c r="K26" s="43">
        <v>11654.25</v>
      </c>
      <c r="M26" s="44">
        <f t="shared" si="1"/>
        <v>1664.8928571428571</v>
      </c>
      <c r="O26" s="44">
        <v>692.07266607185795</v>
      </c>
      <c r="Q26" s="2">
        <v>0</v>
      </c>
      <c r="R26" s="102">
        <v>0</v>
      </c>
      <c r="S26" s="29">
        <v>0</v>
      </c>
      <c r="T26" s="29">
        <v>0</v>
      </c>
      <c r="U26" s="71"/>
      <c r="V26" s="71"/>
      <c r="W26" s="37"/>
      <c r="X26" s="37"/>
      <c r="Y26" s="54">
        <v>0</v>
      </c>
      <c r="Z26" s="51">
        <v>0</v>
      </c>
      <c r="AA26" s="51" t="str">
        <f>IF(IncidenceComplications!O23&gt;0,Y26/IncidenceComplications!O23,"")</f>
        <v/>
      </c>
      <c r="AB26" s="51" t="str">
        <f>IF(IncidenceComplications!P23&gt;0,Z26/IncidenceComplications!P23,"")</f>
        <v/>
      </c>
      <c r="AC26" s="51"/>
      <c r="AD26" s="59"/>
      <c r="AE26" s="2">
        <v>3</v>
      </c>
      <c r="AF26" s="102">
        <v>0</v>
      </c>
      <c r="AG26" s="9">
        <v>20</v>
      </c>
      <c r="AH26" s="9">
        <v>0</v>
      </c>
      <c r="AI26" s="71">
        <f t="shared" si="6"/>
        <v>6.666666666666667</v>
      </c>
      <c r="AJ26" s="71"/>
      <c r="AK26" s="37">
        <v>1.1547005383792499</v>
      </c>
      <c r="AL26" s="37"/>
      <c r="AM26" s="54">
        <v>7737.2</v>
      </c>
      <c r="AN26" s="51">
        <v>0</v>
      </c>
      <c r="AO26" s="51">
        <f t="shared" si="3"/>
        <v>2579.0666666666666</v>
      </c>
      <c r="AP26" s="51" t="str">
        <f t="shared" si="5"/>
        <v/>
      </c>
      <c r="AQ26" s="49">
        <v>134.37256949739901</v>
      </c>
      <c r="AR26" s="59"/>
    </row>
    <row r="27" spans="1:46" x14ac:dyDescent="0.25">
      <c r="A27" s="261"/>
      <c r="B27" s="5" t="s">
        <v>4</v>
      </c>
      <c r="C27" s="2">
        <v>13</v>
      </c>
      <c r="E27" s="2">
        <v>42</v>
      </c>
      <c r="G27" s="71">
        <f t="shared" si="0"/>
        <v>3.2307692307692308</v>
      </c>
      <c r="I27" s="37">
        <v>1.8327504901034299</v>
      </c>
      <c r="K27" s="43">
        <v>22846.62</v>
      </c>
      <c r="M27" s="44">
        <f t="shared" si="1"/>
        <v>1757.4323076923076</v>
      </c>
      <c r="O27" s="44">
        <v>1120.4251868312699</v>
      </c>
      <c r="Q27" s="2">
        <v>2</v>
      </c>
      <c r="R27" s="102">
        <v>0</v>
      </c>
      <c r="S27" s="29">
        <v>5</v>
      </c>
      <c r="T27" s="29">
        <v>0</v>
      </c>
      <c r="U27" s="71">
        <f t="shared" ref="U27:U39" si="7">IF(Q27&gt;0,S27/Q27,"")</f>
        <v>2.5</v>
      </c>
      <c r="V27" s="71"/>
      <c r="W27" s="37">
        <v>0.70710678118654802</v>
      </c>
      <c r="X27" s="37"/>
      <c r="Y27" s="54">
        <v>2973.82</v>
      </c>
      <c r="Z27" s="51">
        <v>0</v>
      </c>
      <c r="AA27" s="51">
        <f>IF(IncidenceComplications!O24&gt;0,Y27/IncidenceComplications!O24,"")</f>
        <v>1486.91</v>
      </c>
      <c r="AB27" s="51" t="str">
        <f>IF(IncidenceComplications!P24&gt;0,Z27/IncidenceComplications!P24,"")</f>
        <v/>
      </c>
      <c r="AC27" s="51">
        <v>24.183051916579998</v>
      </c>
      <c r="AD27" s="59"/>
      <c r="AE27" s="2">
        <v>5</v>
      </c>
      <c r="AF27" s="102">
        <v>1</v>
      </c>
      <c r="AG27" s="9">
        <v>23</v>
      </c>
      <c r="AH27" s="9">
        <v>3</v>
      </c>
      <c r="AI27" s="71">
        <f t="shared" si="6"/>
        <v>4.5999999999999996</v>
      </c>
      <c r="AJ27" s="71">
        <f>AH27/AF27</f>
        <v>3</v>
      </c>
      <c r="AK27" s="37">
        <v>1.51657508881031</v>
      </c>
      <c r="AL27" s="37"/>
      <c r="AM27" s="54">
        <v>12456.64</v>
      </c>
      <c r="AN27" s="51">
        <v>2653.39</v>
      </c>
      <c r="AO27" s="51">
        <f t="shared" si="3"/>
        <v>2491.328</v>
      </c>
      <c r="AP27" s="51">
        <f t="shared" si="5"/>
        <v>2653.39</v>
      </c>
      <c r="AQ27" s="49">
        <v>109.652766814157</v>
      </c>
      <c r="AR27" s="59"/>
    </row>
    <row r="28" spans="1:46" x14ac:dyDescent="0.25">
      <c r="A28" s="261"/>
      <c r="B28" s="5" t="s">
        <v>5</v>
      </c>
      <c r="C28" s="2">
        <v>29</v>
      </c>
      <c r="E28" s="2">
        <v>102</v>
      </c>
      <c r="G28" s="71">
        <f t="shared" si="0"/>
        <v>3.5172413793103448</v>
      </c>
      <c r="I28" s="37">
        <v>1.9202062697081801</v>
      </c>
      <c r="K28" s="43">
        <v>52789.78</v>
      </c>
      <c r="M28" s="44">
        <f t="shared" si="1"/>
        <v>1820.3372413793104</v>
      </c>
      <c r="O28" s="44">
        <v>1135.91994051045</v>
      </c>
      <c r="Q28" s="2">
        <v>6</v>
      </c>
      <c r="R28" s="102">
        <v>0</v>
      </c>
      <c r="S28" s="29">
        <v>25</v>
      </c>
      <c r="T28" s="29">
        <v>0</v>
      </c>
      <c r="U28" s="71">
        <f t="shared" si="7"/>
        <v>4.166666666666667</v>
      </c>
      <c r="V28" s="71"/>
      <c r="W28" s="37">
        <v>3.3714487489307401</v>
      </c>
      <c r="X28" s="37"/>
      <c r="Y28" s="54">
        <v>10418.56</v>
      </c>
      <c r="Z28" s="51">
        <v>0</v>
      </c>
      <c r="AA28" s="51">
        <f>IF(IncidenceComplications!O25&gt;0,Y28/IncidenceComplications!O25,"")</f>
        <v>1736.4266666666665</v>
      </c>
      <c r="AB28" s="51" t="str">
        <f>IF(IncidenceComplications!P25&gt;0,Z28/IncidenceComplications!P25,"")</f>
        <v/>
      </c>
      <c r="AC28" s="51">
        <v>1069.6393291884301</v>
      </c>
      <c r="AD28" s="59"/>
      <c r="AE28" s="2">
        <v>23</v>
      </c>
      <c r="AF28" s="102">
        <v>0</v>
      </c>
      <c r="AG28" s="9">
        <v>215</v>
      </c>
      <c r="AH28" s="9">
        <v>0</v>
      </c>
      <c r="AI28" s="71">
        <f t="shared" si="6"/>
        <v>9.3478260869565215</v>
      </c>
      <c r="AJ28" s="71"/>
      <c r="AK28" s="37">
        <v>14.2720601037392</v>
      </c>
      <c r="AL28" s="37"/>
      <c r="AM28" s="54">
        <v>184111.4</v>
      </c>
      <c r="AN28" s="51">
        <v>0</v>
      </c>
      <c r="AO28" s="51">
        <f t="shared" si="3"/>
        <v>8004.8434782608692</v>
      </c>
      <c r="AP28" s="51" t="str">
        <f t="shared" si="5"/>
        <v/>
      </c>
      <c r="AQ28" s="49">
        <v>26673.079640995598</v>
      </c>
      <c r="AR28" s="59"/>
    </row>
    <row r="29" spans="1:46" x14ac:dyDescent="0.25">
      <c r="A29" s="261"/>
      <c r="B29" s="6" t="s">
        <v>6</v>
      </c>
      <c r="C29" s="2">
        <v>14</v>
      </c>
      <c r="D29" s="6"/>
      <c r="E29" s="8">
        <v>113</v>
      </c>
      <c r="F29" s="6"/>
      <c r="G29" s="39">
        <f t="shared" si="0"/>
        <v>8.0714285714285712</v>
      </c>
      <c r="H29" s="6"/>
      <c r="I29" s="39">
        <v>8.5166288537758295</v>
      </c>
      <c r="J29" s="6"/>
      <c r="K29" s="45">
        <v>38536.949999999997</v>
      </c>
      <c r="L29" s="6"/>
      <c r="M29" s="46">
        <f t="shared" si="1"/>
        <v>2752.6392857142855</v>
      </c>
      <c r="N29" s="6"/>
      <c r="O29" s="46">
        <v>3201.06894132969</v>
      </c>
      <c r="P29" s="53"/>
      <c r="Q29" s="2">
        <v>2</v>
      </c>
      <c r="R29" s="102">
        <v>0</v>
      </c>
      <c r="S29" s="29">
        <v>8</v>
      </c>
      <c r="T29" s="29">
        <v>0</v>
      </c>
      <c r="U29" s="39">
        <f t="shared" si="7"/>
        <v>4</v>
      </c>
      <c r="V29" s="39"/>
      <c r="W29" s="39">
        <v>0</v>
      </c>
      <c r="X29" s="38"/>
      <c r="Y29" s="55">
        <v>2721.49</v>
      </c>
      <c r="Z29" s="50">
        <v>0</v>
      </c>
      <c r="AA29" s="50">
        <f>IF(IncidenceComplications!O26&gt;0,Y29/IncidenceComplications!O26,"")</f>
        <v>1360.7449999999999</v>
      </c>
      <c r="AB29" s="50" t="str">
        <f>IF(IncidenceComplications!P26&gt;0,Z29/IncidenceComplications!P26,"")</f>
        <v/>
      </c>
      <c r="AC29" s="50">
        <v>10.4722514293729</v>
      </c>
      <c r="AD29" s="60"/>
      <c r="AE29" s="2">
        <v>15</v>
      </c>
      <c r="AF29" s="102">
        <v>2</v>
      </c>
      <c r="AG29" s="9">
        <v>123</v>
      </c>
      <c r="AH29" s="9">
        <v>14</v>
      </c>
      <c r="AI29" s="39">
        <f t="shared" si="6"/>
        <v>8.1999999999999993</v>
      </c>
      <c r="AJ29" s="39">
        <f t="shared" ref="AJ29:AJ34" si="8">AH29/AF29</f>
        <v>7</v>
      </c>
      <c r="AK29" s="39">
        <v>5.1851436128341</v>
      </c>
      <c r="AL29" s="38">
        <v>4.2426406871192803</v>
      </c>
      <c r="AM29" s="55">
        <v>83891.79</v>
      </c>
      <c r="AN29" s="50">
        <v>15641.55</v>
      </c>
      <c r="AO29" s="50">
        <f t="shared" si="3"/>
        <v>5592.7859999999991</v>
      </c>
      <c r="AP29" s="50">
        <f t="shared" si="5"/>
        <v>7820.7749999999996</v>
      </c>
      <c r="AQ29" s="50">
        <v>9487.3564077496594</v>
      </c>
      <c r="AR29" s="60">
        <v>7518.8290389162303</v>
      </c>
    </row>
    <row r="30" spans="1:46" ht="15.75" thickBot="1" x14ac:dyDescent="0.3">
      <c r="A30" s="262"/>
      <c r="B30" s="15" t="s">
        <v>14</v>
      </c>
      <c r="C30" s="16">
        <f>SUM(C23:C29)</f>
        <v>84</v>
      </c>
      <c r="D30" s="67"/>
      <c r="E30" s="31">
        <f>SUM(E23:E29)</f>
        <v>363</v>
      </c>
      <c r="F30" s="67"/>
      <c r="G30" s="70">
        <f t="shared" si="0"/>
        <v>4.3214285714285712</v>
      </c>
      <c r="H30" s="67"/>
      <c r="I30" s="70">
        <f t="array" ref="I30">SQRT(SUM(I23:I29^2*(C23:C29-1))/(SUM(C23:C29)-7))</f>
        <v>3.9742546940927301</v>
      </c>
      <c r="J30" s="67"/>
      <c r="K30" s="112">
        <f>SUM(K23:K29)</f>
        <v>165851.65</v>
      </c>
      <c r="L30" s="67"/>
      <c r="M30" s="64">
        <f t="shared" si="1"/>
        <v>1974.4244047619047</v>
      </c>
      <c r="N30" s="67"/>
      <c r="O30" s="64">
        <f t="array" ref="O30">SQRT(AVERAGE(O23:O29^2))</f>
        <v>1437.6509000077831</v>
      </c>
      <c r="P30" s="99"/>
      <c r="Q30" s="16">
        <f>SUM(Q23:Q29)</f>
        <v>15</v>
      </c>
      <c r="R30" s="212">
        <f>SUM(R23:R29)</f>
        <v>1</v>
      </c>
      <c r="S30" s="17">
        <f>SUM(S23:S29)</f>
        <v>61</v>
      </c>
      <c r="T30" s="17">
        <f>SUM(T23:T29)</f>
        <v>3</v>
      </c>
      <c r="U30" s="70">
        <f t="shared" si="7"/>
        <v>4.0666666666666664</v>
      </c>
      <c r="V30" s="70">
        <f>IF(R30&gt;0,T30/R30,"")</f>
        <v>3</v>
      </c>
      <c r="W30" s="70">
        <f>SQRT(AVERAGE(W23^2,W27^2,W28^2,W29^2))</f>
        <v>2.0936411663256278</v>
      </c>
      <c r="X30" s="70"/>
      <c r="Y30" s="56">
        <f>SUM(Y23:Y29)</f>
        <v>26242.439999999995</v>
      </c>
      <c r="Z30" s="52">
        <f>SUM(Z23:Z29)</f>
        <v>1627.71</v>
      </c>
      <c r="AA30" s="52">
        <f>IF(IncidenceComplications!O27&gt;0,Y30/IncidenceComplications!O27,"")</f>
        <v>1749.4959999999996</v>
      </c>
      <c r="AB30" s="52">
        <f>IF(IncidenceComplications!P27&gt;0,Z30/IncidenceComplications!P27,"")</f>
        <v>1627.71</v>
      </c>
      <c r="AC30" s="48">
        <f>SQRT(AVERAGE(AC23^2,AC28^2,AC29^2))</f>
        <v>680.62790224991045</v>
      </c>
      <c r="AD30" s="61">
        <f t="array" ref="AD30">SQRT(AVERAGE(AD23:AD29^2))</f>
        <v>0</v>
      </c>
      <c r="AE30" s="16">
        <f>SUM(AE23:AE29)</f>
        <v>68</v>
      </c>
      <c r="AF30" s="212">
        <f>SUM(AF23:AF29)</f>
        <v>4</v>
      </c>
      <c r="AG30" s="17">
        <f>SUM(AG23:AG29)</f>
        <v>492</v>
      </c>
      <c r="AH30" s="17">
        <f>SUM(AH23:AH29)</f>
        <v>20</v>
      </c>
      <c r="AI30" s="70">
        <f t="shared" si="6"/>
        <v>7.2352941176470589</v>
      </c>
      <c r="AJ30" s="70">
        <f t="shared" si="8"/>
        <v>5</v>
      </c>
      <c r="AK30" s="70">
        <f t="array" ref="AK30">SQRT(AVERAGE(AK24:AK29^2))</f>
        <v>6.6574891343760871</v>
      </c>
      <c r="AL30" s="70">
        <f>SQRT(AVERAGE(AL29^2))</f>
        <v>4.2426406871192803</v>
      </c>
      <c r="AM30" s="56">
        <f>SUM(AM23:AM29)</f>
        <v>345704.13999999996</v>
      </c>
      <c r="AN30" s="52">
        <f>SUM(AN23:AN29)</f>
        <v>20850.019999999997</v>
      </c>
      <c r="AO30" s="57">
        <f t="shared" si="3"/>
        <v>5083.884411764705</v>
      </c>
      <c r="AP30" s="57">
        <f t="shared" si="5"/>
        <v>5212.5049999999992</v>
      </c>
      <c r="AQ30" s="57">
        <f t="array" ref="AQ30">SQRT(AVERAGE(AQ24:AQ29^2))</f>
        <v>11559.592788354919</v>
      </c>
      <c r="AR30" s="62">
        <f>SQRT(AVERAGE(AR29^2))</f>
        <v>7518.8290389162303</v>
      </c>
    </row>
    <row r="31" spans="1:46" ht="16.5" thickTop="1" thickBot="1" x14ac:dyDescent="0.3">
      <c r="A31" s="259" t="s">
        <v>14</v>
      </c>
      <c r="B31" s="259"/>
      <c r="C31" s="81">
        <f>C30+C22+C14</f>
        <v>458</v>
      </c>
      <c r="D31" s="111"/>
      <c r="E31" s="81">
        <f>E30+E22+E14</f>
        <v>2047</v>
      </c>
      <c r="F31" s="111"/>
      <c r="G31" s="83">
        <f t="shared" si="0"/>
        <v>4.4694323144104802</v>
      </c>
      <c r="H31" s="111"/>
      <c r="I31" s="83">
        <f t="array" ref="I31">SQRT((I14^2*(C14-1)+I22^2*(C22-1)+I30^2*(C30-1))/(C14+C22+C30-3))</f>
        <v>4.6483869414334897</v>
      </c>
      <c r="J31" s="111"/>
      <c r="K31" s="87">
        <f>SUM(K30,K22,K14)</f>
        <v>931253.76949700003</v>
      </c>
      <c r="L31" s="111"/>
      <c r="M31" s="88">
        <f t="shared" si="1"/>
        <v>2033.3051735742358</v>
      </c>
      <c r="N31" s="111"/>
      <c r="O31" s="85">
        <f>SQRT(AVERAGE(O14^2,O22^2,O30^2))</f>
        <v>2951.8441944886604</v>
      </c>
      <c r="P31" s="111"/>
      <c r="Q31" s="81">
        <f>Q30+Q22+Q14</f>
        <v>29</v>
      </c>
      <c r="R31" s="105">
        <f>R30+R22+R14</f>
        <v>11</v>
      </c>
      <c r="S31" s="82">
        <f>S30+S22+S14</f>
        <v>119</v>
      </c>
      <c r="T31" s="82">
        <f>T30+T22+T14</f>
        <v>42</v>
      </c>
      <c r="U31" s="83">
        <f t="shared" si="7"/>
        <v>4.1034482758620694</v>
      </c>
      <c r="V31" s="83">
        <f>IF(R31&gt;0,T31/R31,"")</f>
        <v>3.8181818181818183</v>
      </c>
      <c r="W31" s="83">
        <f>SQRT(AVERAGE(W14^2,W22^2,W30^2))</f>
        <v>1.6991283168251408</v>
      </c>
      <c r="X31" s="83">
        <f>SQRT(AVERAGE(X14^2,X22^2,X30^2))</f>
        <v>1.0000000000000018</v>
      </c>
      <c r="Y31" s="84">
        <f>SUM(Y30,Y22,Y14)</f>
        <v>47320.381792999993</v>
      </c>
      <c r="Z31" s="85">
        <f>SUM(Z30,Z22,Z14)</f>
        <v>22916.979022</v>
      </c>
      <c r="AA31" s="85">
        <f>IF(IncidenceComplications!O28&gt;0,Y31/IncidenceComplications!O28,"")</f>
        <v>1631.7373032068963</v>
      </c>
      <c r="AB31" s="85">
        <f>IF(IncidenceComplications!P28&gt;0,Z31/IncidenceComplications!P28,"")</f>
        <v>2083.3617292727272</v>
      </c>
      <c r="AC31" s="85">
        <f>SQRT(AVERAGE(AC14^2,AC22^2,AC30^2))</f>
        <v>498.8500113608813</v>
      </c>
      <c r="AD31" s="89">
        <f>SQRT(AVERAGE(AD14^2,AD22^2,AD30^2))</f>
        <v>811.93646571790032</v>
      </c>
      <c r="AE31" s="81">
        <f>AE30+AE22+AE14</f>
        <v>331</v>
      </c>
      <c r="AF31" s="105">
        <f>AF30+AF22+AF14</f>
        <v>42</v>
      </c>
      <c r="AG31" s="82">
        <f>AG30+AG22+AG14</f>
        <v>2644</v>
      </c>
      <c r="AH31" s="82">
        <f>AH30+AH22+AH14</f>
        <v>213</v>
      </c>
      <c r="AI31" s="83">
        <f t="shared" si="6"/>
        <v>7.9879154078549846</v>
      </c>
      <c r="AJ31" s="83">
        <f t="shared" si="8"/>
        <v>5.0714285714285712</v>
      </c>
      <c r="AK31" s="83">
        <f>SQRT(AVERAGE(AK14^2,AK22^2,AK30^2))</f>
        <v>7.6449915513986966</v>
      </c>
      <c r="AL31" s="83">
        <f>SQRT(AVERAGE(AL14^2,AL22^2,AL30^2))</f>
        <v>3.0191773877606822</v>
      </c>
      <c r="AM31" s="84">
        <f>SUM(AM30,AM22,AM14)</f>
        <v>1322390.031769</v>
      </c>
      <c r="AN31" s="85">
        <f>SUM(AN30,AN22,AN14)</f>
        <v>117151.89847299998</v>
      </c>
      <c r="AO31" s="85">
        <f t="shared" si="3"/>
        <v>3995.1360476404834</v>
      </c>
      <c r="AP31" s="85">
        <f t="shared" si="5"/>
        <v>2789.3309160238091</v>
      </c>
      <c r="AQ31" s="110">
        <f>SQRT(AVERAGE(AQ14^2,AQ22^2,AQ30^2))</f>
        <v>10787.328205668817</v>
      </c>
      <c r="AR31" s="89">
        <f>SQRT(AVERAGE(AR14^2,AR22^2,AR30^2))</f>
        <v>4355.6822769859418</v>
      </c>
      <c r="AT31" s="226"/>
    </row>
    <row r="32" spans="1:46" x14ac:dyDescent="0.25">
      <c r="A32" s="273" t="s">
        <v>35</v>
      </c>
      <c r="B32" s="12" t="s">
        <v>0</v>
      </c>
      <c r="C32" s="3">
        <f t="shared" ref="C32:C39" si="9">C7+C15+C23</f>
        <v>38</v>
      </c>
      <c r="E32" s="3">
        <f t="shared" ref="E32:E39" si="10">E7+E15+E23</f>
        <v>174</v>
      </c>
      <c r="G32" s="71">
        <f t="shared" si="0"/>
        <v>4.5789473684210522</v>
      </c>
      <c r="I32" s="71">
        <f t="shared" ref="I32:I38" si="11">SQRT((I7^2*(C7-1)+I15^2*(C15-1)+I23^2*(C23-1))/(C7+C15+C23-3))</f>
        <v>9.055617335029714</v>
      </c>
      <c r="K32" s="43">
        <f t="shared" ref="K32:K38" si="12">SUM(K7,K15,K23)</f>
        <v>116444.87170199999</v>
      </c>
      <c r="M32" s="44">
        <f t="shared" si="1"/>
        <v>3064.3387289999996</v>
      </c>
      <c r="O32" s="51">
        <f t="shared" ref="O32:O38" si="13">SQRT(AVERAGE(O7^2,O15^2,O23^2))</f>
        <v>5716.9055645598837</v>
      </c>
      <c r="Q32" s="3">
        <f t="shared" ref="Q32:T39" si="14">Q7+Q15+Q23</f>
        <v>4</v>
      </c>
      <c r="R32" s="106">
        <f t="shared" si="14"/>
        <v>0</v>
      </c>
      <c r="S32" s="1">
        <f t="shared" si="14"/>
        <v>14</v>
      </c>
      <c r="T32" s="1">
        <f t="shared" si="14"/>
        <v>0</v>
      </c>
      <c r="U32" s="71">
        <f t="shared" si="7"/>
        <v>3.5</v>
      </c>
      <c r="V32" s="71"/>
      <c r="W32" s="71">
        <f>SQRT(AVERAGE(W23^2))</f>
        <v>2.3804761428476202</v>
      </c>
      <c r="X32" s="71"/>
      <c r="Y32" s="43">
        <f t="shared" ref="Y32:Z38" si="15">SUM(Y7,Y15,Y23)</f>
        <v>6222.54</v>
      </c>
      <c r="Z32" s="44">
        <f t="shared" si="15"/>
        <v>0</v>
      </c>
      <c r="AA32" s="44">
        <f>Y32/IncidenceComplications!O29</f>
        <v>1555.635</v>
      </c>
      <c r="AB32" s="51"/>
      <c r="AC32" s="51">
        <f>SQRT(AVERAGE(AC23^2))</f>
        <v>495.50485503844101</v>
      </c>
      <c r="AD32" s="51"/>
      <c r="AE32" s="98">
        <f t="shared" ref="AE32:AH39" si="16">AE7+AE15+AE23</f>
        <v>21</v>
      </c>
      <c r="AF32" s="106">
        <f t="shared" si="16"/>
        <v>5</v>
      </c>
      <c r="AG32" s="1">
        <f t="shared" si="16"/>
        <v>223</v>
      </c>
      <c r="AH32" s="1">
        <f t="shared" si="16"/>
        <v>25</v>
      </c>
      <c r="AI32" s="71">
        <f t="shared" si="6"/>
        <v>10.619047619047619</v>
      </c>
      <c r="AJ32" s="71">
        <f t="shared" si="8"/>
        <v>5</v>
      </c>
      <c r="AK32" s="71">
        <f>SQRT(AVERAGE(AK7^2,AK15^2))</f>
        <v>16.937384685954342</v>
      </c>
      <c r="AL32" s="71">
        <f>SQRT(AVERAGE(AL15^2))</f>
        <v>1.87082869338697</v>
      </c>
      <c r="AM32" s="43">
        <f t="shared" ref="AM32:AN38" si="17">SUM(AM7,AM15,AM23)</f>
        <v>223480.17298</v>
      </c>
      <c r="AN32" s="44">
        <f t="shared" si="17"/>
        <v>13769.237604</v>
      </c>
      <c r="AO32" s="51">
        <f t="shared" si="3"/>
        <v>10641.912999047619</v>
      </c>
      <c r="AP32" s="51">
        <f t="shared" si="5"/>
        <v>2753.8475208</v>
      </c>
      <c r="AQ32" s="51">
        <f>SQRT(AVERAGE(AQ7^2,AQ15^2))</f>
        <v>26735.988464961531</v>
      </c>
      <c r="AR32" s="59">
        <f t="shared" ref="AR32:AR38" si="18">SQRT(AVERAGE(AR7^2,AR15^2,AR23^2))</f>
        <v>335.38006019927849</v>
      </c>
      <c r="AT32" s="69"/>
    </row>
    <row r="33" spans="1:48" x14ac:dyDescent="0.25">
      <c r="A33" s="261"/>
      <c r="B33" s="5" t="s">
        <v>1</v>
      </c>
      <c r="C33" s="3">
        <f t="shared" si="9"/>
        <v>73</v>
      </c>
      <c r="E33" s="3">
        <f t="shared" si="10"/>
        <v>277</v>
      </c>
      <c r="G33" s="71">
        <f t="shared" si="0"/>
        <v>3.7945205479452055</v>
      </c>
      <c r="I33" s="71">
        <f t="shared" si="11"/>
        <v>3.0749174674433206</v>
      </c>
      <c r="K33" s="43">
        <f t="shared" si="12"/>
        <v>134637.78713400001</v>
      </c>
      <c r="M33" s="44">
        <f t="shared" si="1"/>
        <v>1844.3532484109592</v>
      </c>
      <c r="O33" s="51">
        <f t="shared" si="13"/>
        <v>618.65254951567863</v>
      </c>
      <c r="Q33" s="3">
        <f t="shared" si="14"/>
        <v>4</v>
      </c>
      <c r="R33" s="106">
        <f t="shared" si="14"/>
        <v>3</v>
      </c>
      <c r="S33" s="1">
        <f t="shared" si="14"/>
        <v>19</v>
      </c>
      <c r="T33" s="1">
        <f t="shared" si="14"/>
        <v>14</v>
      </c>
      <c r="U33" s="71">
        <f t="shared" si="7"/>
        <v>4.75</v>
      </c>
      <c r="V33" s="71">
        <f>IF(R33&gt;0,T33/R33,"")</f>
        <v>4.666666666666667</v>
      </c>
      <c r="W33" s="71">
        <f>SQRT(AVERAGE(W16^2))</f>
        <v>2.1213203435596402</v>
      </c>
      <c r="X33" s="71"/>
      <c r="Y33" s="43">
        <f t="shared" si="15"/>
        <v>8419.0071540000008</v>
      </c>
      <c r="Z33" s="44">
        <f t="shared" si="15"/>
        <v>5416.5489230000003</v>
      </c>
      <c r="AA33" s="44">
        <f>Y33/IncidenceComplications!O30</f>
        <v>2104.7517885000002</v>
      </c>
      <c r="AB33" s="51">
        <f>Z33/IncidenceComplications!P30</f>
        <v>1805.5163076666668</v>
      </c>
      <c r="AC33" s="51">
        <f>SQRT(AVERAGE(AC16^2))</f>
        <v>147.51613303009901</v>
      </c>
      <c r="AD33" s="51"/>
      <c r="AE33" s="3">
        <f t="shared" si="16"/>
        <v>76</v>
      </c>
      <c r="AF33" s="106">
        <f t="shared" si="16"/>
        <v>16</v>
      </c>
      <c r="AG33" s="1">
        <f t="shared" si="16"/>
        <v>382</v>
      </c>
      <c r="AH33" s="1">
        <f t="shared" si="16"/>
        <v>71</v>
      </c>
      <c r="AI33" s="71">
        <f t="shared" si="6"/>
        <v>5.0263157894736841</v>
      </c>
      <c r="AJ33" s="71">
        <f t="shared" si="8"/>
        <v>4.4375</v>
      </c>
      <c r="AK33" s="71">
        <f t="shared" ref="AK33:AK38" si="19">SQRT(AVERAGE(AK8^2,AK16^2,AK24^2))</f>
        <v>2.7613233131128569</v>
      </c>
      <c r="AL33" s="71">
        <f>SQRT(AVERAGE(AL8^2,AL16^2))</f>
        <v>1.9400744544704711</v>
      </c>
      <c r="AM33" s="43">
        <f t="shared" si="17"/>
        <v>213923.035477</v>
      </c>
      <c r="AN33" s="44">
        <f t="shared" si="17"/>
        <v>39896.108015999998</v>
      </c>
      <c r="AO33" s="51">
        <f t="shared" si="3"/>
        <v>2814.7767825921051</v>
      </c>
      <c r="AP33" s="51">
        <f t="shared" si="5"/>
        <v>2493.5067509999999</v>
      </c>
      <c r="AQ33" s="51">
        <f t="shared" ref="AQ33:AQ38" si="20">SQRT(AVERAGE(AQ8^2,AQ16^2,AQ24^2))</f>
        <v>954.44541118865072</v>
      </c>
      <c r="AR33" s="59">
        <f t="shared" si="18"/>
        <v>134.75079948617554</v>
      </c>
      <c r="AT33" s="69"/>
    </row>
    <row r="34" spans="1:48" x14ac:dyDescent="0.25">
      <c r="A34" s="261"/>
      <c r="B34" s="5" t="s">
        <v>2</v>
      </c>
      <c r="C34" s="3">
        <f t="shared" si="9"/>
        <v>41</v>
      </c>
      <c r="E34" s="3">
        <f t="shared" si="10"/>
        <v>149</v>
      </c>
      <c r="G34" s="71">
        <f t="shared" si="0"/>
        <v>3.6341463414634148</v>
      </c>
      <c r="I34" s="71">
        <f t="shared" si="11"/>
        <v>1.7019703182803523</v>
      </c>
      <c r="K34" s="43">
        <f t="shared" si="12"/>
        <v>66051.121245000002</v>
      </c>
      <c r="M34" s="44">
        <f t="shared" si="1"/>
        <v>1611.002957195122</v>
      </c>
      <c r="O34" s="51">
        <f t="shared" si="13"/>
        <v>519.98753976044361</v>
      </c>
      <c r="Q34" s="3">
        <f t="shared" si="14"/>
        <v>1</v>
      </c>
      <c r="R34" s="106">
        <f t="shared" si="14"/>
        <v>3</v>
      </c>
      <c r="S34" s="1">
        <f t="shared" si="14"/>
        <v>7</v>
      </c>
      <c r="T34" s="1">
        <f t="shared" si="14"/>
        <v>9</v>
      </c>
      <c r="U34" s="71">
        <f t="shared" si="7"/>
        <v>7</v>
      </c>
      <c r="V34" s="71">
        <f>IF(R34&gt;0,T34/R34,"")</f>
        <v>3</v>
      </c>
      <c r="W34" s="71"/>
      <c r="X34" s="71">
        <f>SQRT(AVERAGE(X9^2))</f>
        <v>0</v>
      </c>
      <c r="Y34" s="43">
        <f t="shared" si="15"/>
        <v>1498.4139479999999</v>
      </c>
      <c r="Z34" s="44">
        <f t="shared" si="15"/>
        <v>7818.538423</v>
      </c>
      <c r="AA34" s="44">
        <f>Y34/IncidenceComplications!O31</f>
        <v>1498.4139479999999</v>
      </c>
      <c r="AB34" s="51">
        <f>Z34/IncidenceComplications!P31</f>
        <v>2606.1794743333335</v>
      </c>
      <c r="AC34" s="51"/>
      <c r="AD34" s="51">
        <f>SQRT(AVERAGE(AD9^2))</f>
        <v>1161.4162052327199</v>
      </c>
      <c r="AE34" s="3">
        <f t="shared" si="16"/>
        <v>21</v>
      </c>
      <c r="AF34" s="106">
        <f t="shared" si="16"/>
        <v>4</v>
      </c>
      <c r="AG34" s="1">
        <f t="shared" si="16"/>
        <v>124</v>
      </c>
      <c r="AH34" s="1">
        <f t="shared" si="16"/>
        <v>15</v>
      </c>
      <c r="AI34" s="71">
        <f t="shared" si="6"/>
        <v>5.9047619047619051</v>
      </c>
      <c r="AJ34" s="71">
        <f t="shared" si="8"/>
        <v>3.75</v>
      </c>
      <c r="AK34" s="71">
        <f t="shared" si="19"/>
        <v>4.0145238966036949</v>
      </c>
      <c r="AL34" s="71">
        <f>SQRT(AVERAGE(AL17^2))</f>
        <v>1.1547005383792499</v>
      </c>
      <c r="AM34" s="43">
        <f t="shared" si="17"/>
        <v>50718.541891999994</v>
      </c>
      <c r="AN34" s="44">
        <f t="shared" si="17"/>
        <v>9451.7403009999998</v>
      </c>
      <c r="AO34" s="51">
        <f t="shared" si="3"/>
        <v>2415.1686615238091</v>
      </c>
      <c r="AP34" s="51">
        <f t="shared" si="5"/>
        <v>2362.93507525</v>
      </c>
      <c r="AQ34" s="51">
        <f t="shared" si="20"/>
        <v>622.10671958346234</v>
      </c>
      <c r="AR34" s="59">
        <f t="shared" si="18"/>
        <v>33.986093261211181</v>
      </c>
    </row>
    <row r="35" spans="1:48" x14ac:dyDescent="0.25">
      <c r="A35" s="261"/>
      <c r="B35" s="5" t="s">
        <v>3</v>
      </c>
      <c r="C35" s="3">
        <f t="shared" si="9"/>
        <v>42</v>
      </c>
      <c r="E35" s="3">
        <f t="shared" si="10"/>
        <v>141</v>
      </c>
      <c r="G35" s="71">
        <f t="shared" si="0"/>
        <v>3.3571428571428572</v>
      </c>
      <c r="I35" s="71">
        <f t="shared" si="11"/>
        <v>2.5798227730022276</v>
      </c>
      <c r="K35" s="43">
        <f t="shared" si="12"/>
        <v>65467.616349999997</v>
      </c>
      <c r="M35" s="44">
        <f t="shared" si="1"/>
        <v>1558.7527702380951</v>
      </c>
      <c r="O35" s="51">
        <f t="shared" si="13"/>
        <v>561.66159334342467</v>
      </c>
      <c r="Q35" s="3">
        <f t="shared" si="14"/>
        <v>1</v>
      </c>
      <c r="R35" s="106">
        <f t="shared" si="14"/>
        <v>0</v>
      </c>
      <c r="S35" s="1">
        <f t="shared" si="14"/>
        <v>3</v>
      </c>
      <c r="T35" s="1">
        <f t="shared" si="14"/>
        <v>0</v>
      </c>
      <c r="U35" s="71">
        <f t="shared" si="7"/>
        <v>3</v>
      </c>
      <c r="V35" s="71"/>
      <c r="W35" s="71"/>
      <c r="X35" s="71"/>
      <c r="Y35" s="43">
        <f t="shared" si="15"/>
        <v>1292.1868079999999</v>
      </c>
      <c r="Z35" s="44">
        <f t="shared" si="15"/>
        <v>0</v>
      </c>
      <c r="AA35" s="44"/>
      <c r="AB35" s="51"/>
      <c r="AC35" s="51"/>
      <c r="AD35" s="51"/>
      <c r="AE35" s="3">
        <f t="shared" si="16"/>
        <v>14</v>
      </c>
      <c r="AF35" s="106">
        <f t="shared" si="16"/>
        <v>0</v>
      </c>
      <c r="AG35" s="1">
        <f t="shared" si="16"/>
        <v>89</v>
      </c>
      <c r="AH35" s="1">
        <f t="shared" si="16"/>
        <v>0</v>
      </c>
      <c r="AI35" s="71">
        <f t="shared" si="6"/>
        <v>6.3571428571428568</v>
      </c>
      <c r="AJ35" s="71"/>
      <c r="AK35" s="71">
        <f t="shared" si="19"/>
        <v>2.726414006223802</v>
      </c>
      <c r="AL35" s="71"/>
      <c r="AM35" s="43">
        <f t="shared" si="17"/>
        <v>34476.026040999997</v>
      </c>
      <c r="AN35" s="44">
        <f t="shared" si="17"/>
        <v>0</v>
      </c>
      <c r="AO35" s="51">
        <f t="shared" si="3"/>
        <v>2462.5732886428568</v>
      </c>
      <c r="AP35" s="51" t="str">
        <f t="shared" si="5"/>
        <v/>
      </c>
      <c r="AQ35" s="51">
        <f t="shared" si="20"/>
        <v>444.85436920148982</v>
      </c>
      <c r="AR35" s="59">
        <f t="shared" si="18"/>
        <v>0</v>
      </c>
    </row>
    <row r="36" spans="1:48" x14ac:dyDescent="0.25">
      <c r="A36" s="261"/>
      <c r="B36" s="5" t="s">
        <v>4</v>
      </c>
      <c r="C36" s="3">
        <f t="shared" si="9"/>
        <v>69</v>
      </c>
      <c r="E36" s="3">
        <f t="shared" si="10"/>
        <v>263</v>
      </c>
      <c r="G36" s="71">
        <f t="shared" si="0"/>
        <v>3.8115942028985508</v>
      </c>
      <c r="I36" s="71">
        <f t="shared" si="11"/>
        <v>4.3009887157157785</v>
      </c>
      <c r="K36" s="43">
        <f t="shared" si="12"/>
        <v>134039.36842700001</v>
      </c>
      <c r="M36" s="44">
        <f t="shared" si="1"/>
        <v>1942.5995424202899</v>
      </c>
      <c r="O36" s="51">
        <f t="shared" si="13"/>
        <v>2498.7684353126451</v>
      </c>
      <c r="Q36" s="3">
        <f t="shared" si="14"/>
        <v>6</v>
      </c>
      <c r="R36" s="106">
        <f t="shared" si="14"/>
        <v>2</v>
      </c>
      <c r="S36" s="1">
        <f t="shared" si="14"/>
        <v>25</v>
      </c>
      <c r="T36" s="1">
        <f t="shared" si="14"/>
        <v>4</v>
      </c>
      <c r="U36" s="71">
        <f t="shared" si="7"/>
        <v>4.166666666666667</v>
      </c>
      <c r="V36" s="71">
        <f>IF(R36&gt;0,T36/R36,"")</f>
        <v>2</v>
      </c>
      <c r="W36" s="71">
        <f>SQRT(AVERAGE(W19^2,W27^2))</f>
        <v>0.95742710775633733</v>
      </c>
      <c r="X36" s="71"/>
      <c r="Y36" s="43">
        <f t="shared" si="15"/>
        <v>9690.3471059999993</v>
      </c>
      <c r="Z36" s="44">
        <f t="shared" si="15"/>
        <v>3319.4290119999996</v>
      </c>
      <c r="AA36" s="44">
        <f>Y36/IncidenceComplications!O33</f>
        <v>1615.0578509999998</v>
      </c>
      <c r="AB36" s="51">
        <f>Z36/IncidenceComplications!P33</f>
        <v>1659.7145059999998</v>
      </c>
      <c r="AC36" s="51">
        <f>SQRT(AVERAGE(AC27^2,AC19^2))</f>
        <v>219.08544551001629</v>
      </c>
      <c r="AD36" s="51"/>
      <c r="AE36" s="3">
        <f t="shared" si="16"/>
        <v>30</v>
      </c>
      <c r="AF36" s="106">
        <f t="shared" si="16"/>
        <v>4</v>
      </c>
      <c r="AG36" s="1">
        <f t="shared" si="16"/>
        <v>193</v>
      </c>
      <c r="AH36" s="1">
        <f t="shared" si="16"/>
        <v>12</v>
      </c>
      <c r="AI36" s="71">
        <f t="shared" si="6"/>
        <v>6.4333333333333336</v>
      </c>
      <c r="AJ36" s="71">
        <f>AH36/AF36</f>
        <v>3</v>
      </c>
      <c r="AK36" s="71">
        <f t="shared" si="19"/>
        <v>3.5572736476402551</v>
      </c>
      <c r="AL36" s="71">
        <f>SQRT(AVERAGE(AL19^2))</f>
        <v>3</v>
      </c>
      <c r="AM36" s="43">
        <f t="shared" si="17"/>
        <v>74016.188028999997</v>
      </c>
      <c r="AN36" s="44">
        <f t="shared" si="17"/>
        <v>7784.6075199999996</v>
      </c>
      <c r="AO36" s="51">
        <f t="shared" si="3"/>
        <v>2467.206267633333</v>
      </c>
      <c r="AP36" s="51">
        <f t="shared" si="5"/>
        <v>1946.1518799999999</v>
      </c>
      <c r="AQ36" s="51">
        <f t="shared" si="20"/>
        <v>1148.2484366154495</v>
      </c>
      <c r="AR36" s="59">
        <f t="shared" si="18"/>
        <v>495.99662376287137</v>
      </c>
    </row>
    <row r="37" spans="1:48" x14ac:dyDescent="0.25">
      <c r="A37" s="261"/>
      <c r="B37" s="5" t="s">
        <v>5</v>
      </c>
      <c r="C37" s="3">
        <f t="shared" si="9"/>
        <v>118</v>
      </c>
      <c r="E37" s="3">
        <f t="shared" si="10"/>
        <v>500</v>
      </c>
      <c r="G37" s="71">
        <f t="shared" si="0"/>
        <v>4.2372881355932206</v>
      </c>
      <c r="I37" s="71">
        <f t="shared" si="11"/>
        <v>3.1906654810353556</v>
      </c>
      <c r="K37" s="43">
        <f t="shared" si="12"/>
        <v>203672.87265999999</v>
      </c>
      <c r="M37" s="44">
        <f t="shared" si="1"/>
        <v>1726.0412937288136</v>
      </c>
      <c r="O37" s="51">
        <f t="shared" si="13"/>
        <v>1036.2378488870474</v>
      </c>
      <c r="Q37" s="3">
        <f t="shared" si="14"/>
        <v>11</v>
      </c>
      <c r="R37" s="106">
        <f t="shared" si="14"/>
        <v>3</v>
      </c>
      <c r="S37" s="1">
        <f t="shared" si="14"/>
        <v>43</v>
      </c>
      <c r="T37" s="1">
        <f t="shared" si="14"/>
        <v>15</v>
      </c>
      <c r="U37" s="71">
        <f t="shared" si="7"/>
        <v>3.9090909090909092</v>
      </c>
      <c r="V37" s="71">
        <f>IF(R37&gt;0,T37/R37,"")</f>
        <v>5</v>
      </c>
      <c r="W37" s="71">
        <f>SQRT(AVERAGE(W20^2,W28^2))</f>
        <v>3.0304015135511868</v>
      </c>
      <c r="X37" s="71">
        <f>SQRT(AVERAGE(X20^2))</f>
        <v>1.7320508075688801</v>
      </c>
      <c r="Y37" s="43">
        <f t="shared" si="15"/>
        <v>17476.396777000002</v>
      </c>
      <c r="Z37" s="44">
        <f t="shared" si="15"/>
        <v>6362.4626639999997</v>
      </c>
      <c r="AA37" s="44">
        <f>Y37/IncidenceComplications!O34</f>
        <v>1588.7633433636365</v>
      </c>
      <c r="AB37" s="51">
        <f>Z37/IncidenceComplications!P34</f>
        <v>2120.8208879999997</v>
      </c>
      <c r="AC37" s="51">
        <f>SQRT(AVERAGE(AC20^2,AC28^2))</f>
        <v>968.72447597944438</v>
      </c>
      <c r="AD37" s="51">
        <f>SQRT(AVERAGE(AD20^2))</f>
        <v>792.99109157055102</v>
      </c>
      <c r="AE37" s="3">
        <f t="shared" si="16"/>
        <v>87</v>
      </c>
      <c r="AF37" s="106">
        <f t="shared" si="16"/>
        <v>5</v>
      </c>
      <c r="AG37" s="1">
        <f t="shared" si="16"/>
        <v>745</v>
      </c>
      <c r="AH37" s="1">
        <f t="shared" si="16"/>
        <v>32</v>
      </c>
      <c r="AI37" s="71">
        <f t="shared" si="6"/>
        <v>8.5632183908045985</v>
      </c>
      <c r="AJ37" s="71">
        <f>AH37/AF37</f>
        <v>6.4</v>
      </c>
      <c r="AK37" s="71">
        <f t="shared" si="19"/>
        <v>9.9280619664264673</v>
      </c>
      <c r="AL37" s="71">
        <f>SQRT(AVERAGE(AL20^2))</f>
        <v>1.7078251276599301</v>
      </c>
      <c r="AM37" s="43">
        <f t="shared" si="17"/>
        <v>368058.88492899999</v>
      </c>
      <c r="AN37" s="44">
        <f t="shared" si="17"/>
        <v>13841.974344</v>
      </c>
      <c r="AO37" s="51">
        <f t="shared" si="3"/>
        <v>4230.5618957356319</v>
      </c>
      <c r="AP37" s="51">
        <f t="shared" si="5"/>
        <v>2768.3948688</v>
      </c>
      <c r="AQ37" s="51">
        <f t="shared" si="20"/>
        <v>15523.192799674016</v>
      </c>
      <c r="AR37" s="59">
        <f t="shared" si="18"/>
        <v>463.42923511195744</v>
      </c>
    </row>
    <row r="38" spans="1:48" x14ac:dyDescent="0.25">
      <c r="A38" s="261"/>
      <c r="B38" s="6" t="s">
        <v>6</v>
      </c>
      <c r="C38" s="10">
        <f t="shared" si="9"/>
        <v>77</v>
      </c>
      <c r="D38" s="6"/>
      <c r="E38" s="10">
        <f t="shared" si="10"/>
        <v>543</v>
      </c>
      <c r="F38" s="6"/>
      <c r="G38" s="39">
        <f t="shared" si="0"/>
        <v>7.0519480519480515</v>
      </c>
      <c r="H38" s="6"/>
      <c r="I38" s="39">
        <f t="shared" si="11"/>
        <v>6.5654874940249064</v>
      </c>
      <c r="J38" s="6"/>
      <c r="K38" s="45">
        <f t="shared" si="12"/>
        <v>210940.131979</v>
      </c>
      <c r="L38" s="6"/>
      <c r="M38" s="46">
        <f t="shared" si="1"/>
        <v>2739.4822334935066</v>
      </c>
      <c r="N38" s="6"/>
      <c r="O38" s="50">
        <f t="shared" si="13"/>
        <v>4474.8704415784796</v>
      </c>
      <c r="P38" s="6"/>
      <c r="Q38" s="10">
        <f t="shared" si="14"/>
        <v>2</v>
      </c>
      <c r="R38" s="107">
        <f t="shared" si="14"/>
        <v>0</v>
      </c>
      <c r="S38" s="11">
        <f t="shared" si="14"/>
        <v>8</v>
      </c>
      <c r="T38" s="11">
        <f t="shared" si="14"/>
        <v>0</v>
      </c>
      <c r="U38" s="39">
        <f t="shared" si="7"/>
        <v>4</v>
      </c>
      <c r="V38" s="39"/>
      <c r="W38" s="39">
        <f>SQRT(AVERAGE(W29^2))</f>
        <v>0</v>
      </c>
      <c r="X38" s="39"/>
      <c r="Y38" s="43">
        <f t="shared" si="15"/>
        <v>2721.49</v>
      </c>
      <c r="Z38" s="46">
        <f t="shared" si="15"/>
        <v>0</v>
      </c>
      <c r="AA38" s="46">
        <f>Y38/IncidenceComplications!O35</f>
        <v>1360.7449999999999</v>
      </c>
      <c r="AB38" s="50"/>
      <c r="AC38" s="51">
        <f>SQRT(AVERAGE(AC29^2))</f>
        <v>10.4722514293729</v>
      </c>
      <c r="AD38" s="51"/>
      <c r="AE38" s="10">
        <f t="shared" si="16"/>
        <v>82</v>
      </c>
      <c r="AF38" s="107">
        <f t="shared" si="16"/>
        <v>8</v>
      </c>
      <c r="AG38" s="11">
        <f t="shared" si="16"/>
        <v>888</v>
      </c>
      <c r="AH38" s="11">
        <f t="shared" si="16"/>
        <v>58</v>
      </c>
      <c r="AI38" s="39">
        <f t="shared" si="6"/>
        <v>10.829268292682928</v>
      </c>
      <c r="AJ38" s="39">
        <f>AH38/AF38</f>
        <v>7.25</v>
      </c>
      <c r="AK38" s="39">
        <f t="shared" si="19"/>
        <v>7.7911465642685878</v>
      </c>
      <c r="AL38" s="39">
        <f>SQRT(AVERAGE(AL21^2,AL29^2))</f>
        <v>4.0187062594820224</v>
      </c>
      <c r="AM38" s="43">
        <f t="shared" si="17"/>
        <v>357717.18242099998</v>
      </c>
      <c r="AN38" s="46">
        <f t="shared" si="17"/>
        <v>32408.230688</v>
      </c>
      <c r="AO38" s="50">
        <f t="shared" si="3"/>
        <v>4362.4046636707317</v>
      </c>
      <c r="AP38" s="50">
        <f t="shared" si="5"/>
        <v>4051.028836</v>
      </c>
      <c r="AQ38" s="50">
        <f t="shared" si="20"/>
        <v>7049.6690264979379</v>
      </c>
      <c r="AR38" s="60">
        <f t="shared" si="18"/>
        <v>4353.2538458804602</v>
      </c>
    </row>
    <row r="39" spans="1:48" ht="15.75" thickBot="1" x14ac:dyDescent="0.3">
      <c r="A39" s="262"/>
      <c r="B39" s="15" t="s">
        <v>14</v>
      </c>
      <c r="C39" s="31">
        <f t="shared" si="9"/>
        <v>458</v>
      </c>
      <c r="D39" s="67"/>
      <c r="E39" s="31">
        <f t="shared" si="10"/>
        <v>2047</v>
      </c>
      <c r="F39" s="67"/>
      <c r="G39" s="70">
        <f t="shared" si="0"/>
        <v>4.4694323144104802</v>
      </c>
      <c r="H39" s="67"/>
      <c r="I39" s="70">
        <f t="array" ref="I39">SQRT(SUM(I32:I38^2*(C32:C38-1))/(SUM(C32:C38)-7))</f>
        <v>4.6683093105578095</v>
      </c>
      <c r="J39" s="67"/>
      <c r="K39" s="112">
        <f>SUM(K32:K38)</f>
        <v>931253.76949699991</v>
      </c>
      <c r="L39" s="67"/>
      <c r="M39" s="64">
        <f t="shared" si="1"/>
        <v>2033.3051735742356</v>
      </c>
      <c r="N39" s="67"/>
      <c r="O39" s="64">
        <f t="array" ref="O39">SQRT(AVERAGE(O32:O38^2))</f>
        <v>2951.8441944886604</v>
      </c>
      <c r="P39" s="67"/>
      <c r="Q39" s="31">
        <f t="shared" si="14"/>
        <v>29</v>
      </c>
      <c r="R39" s="108">
        <f t="shared" si="14"/>
        <v>11</v>
      </c>
      <c r="S39" s="22">
        <f t="shared" si="14"/>
        <v>119</v>
      </c>
      <c r="T39" s="22">
        <f t="shared" si="14"/>
        <v>42</v>
      </c>
      <c r="U39" s="70">
        <f t="shared" si="7"/>
        <v>4.1034482758620694</v>
      </c>
      <c r="V39" s="70">
        <f>IF(R39&gt;0,T39/R39,"")</f>
        <v>3.8181818181818183</v>
      </c>
      <c r="W39" s="70">
        <f t="array" ref="W39">SQRT(AVERAGE(W32:W38^2))</f>
        <v>1.701539918790651</v>
      </c>
      <c r="X39" s="70">
        <f t="array" ref="X39">SQRT(AVERAGE(X32:X38^2))</f>
        <v>0.6546536707079782</v>
      </c>
      <c r="Y39" s="47">
        <f>SUM(Y32:Y38)</f>
        <v>47320.381793</v>
      </c>
      <c r="Z39" s="64">
        <f>SUM(Z32:Z38)</f>
        <v>22916.979022</v>
      </c>
      <c r="AA39" s="48">
        <f>Y39/IncidenceComplications!O36</f>
        <v>1631.7373032068965</v>
      </c>
      <c r="AB39" s="57">
        <f>Z39/IncidenceComplications!P36</f>
        <v>2083.3617292727272</v>
      </c>
      <c r="AC39" s="48">
        <f t="array" ref="AC39">SQRT(AVERAGE(AC32:AC38^2))</f>
        <v>423.22254897339963</v>
      </c>
      <c r="AD39" s="48">
        <f t="array" ref="AD39">SQRT(AVERAGE(AD32:AD38^2))</f>
        <v>531.53718766388511</v>
      </c>
      <c r="AE39" s="31">
        <f t="shared" si="16"/>
        <v>331</v>
      </c>
      <c r="AF39" s="108">
        <f t="shared" si="16"/>
        <v>42</v>
      </c>
      <c r="AG39" s="22">
        <f t="shared" si="16"/>
        <v>2644</v>
      </c>
      <c r="AH39" s="22">
        <f t="shared" si="16"/>
        <v>213</v>
      </c>
      <c r="AI39" s="70">
        <f t="shared" si="6"/>
        <v>7.9879154078549846</v>
      </c>
      <c r="AJ39" s="70">
        <f>AH39/AF39</f>
        <v>5.0714285714285712</v>
      </c>
      <c r="AK39" s="70">
        <f t="array" ref="AK39">SQRT(AVERAGE(AK32:AK38^2))</f>
        <v>8.3663630679097576</v>
      </c>
      <c r="AL39" s="70">
        <f t="array" ref="AL39">SQRT(AVERAGE(AL32:AL38^2))</f>
        <v>2.2886018466955775</v>
      </c>
      <c r="AM39" s="47">
        <f>SUM(AM32:AM38)</f>
        <v>1322390.031769</v>
      </c>
      <c r="AN39" s="64">
        <f>SUM(AN32:AN38)</f>
        <v>117151.89847299999</v>
      </c>
      <c r="AO39" s="57">
        <f t="shared" si="3"/>
        <v>3995.1360476404834</v>
      </c>
      <c r="AP39" s="57">
        <f t="shared" si="5"/>
        <v>2789.3309160238096</v>
      </c>
      <c r="AQ39" s="52">
        <f t="array" ref="AQ39">SQRT(AVERAGE(AQ32:AQ38^2))</f>
        <v>12001.754514433351</v>
      </c>
      <c r="AR39" s="62">
        <f t="array" ref="AR39">SQRT(AVERAGE(AR32:AR38^2))</f>
        <v>1670.9018510411947</v>
      </c>
    </row>
    <row r="40" spans="1:48" ht="15.75" thickTop="1" x14ac:dyDescent="0.25"/>
    <row r="41" spans="1:48" x14ac:dyDescent="0.25">
      <c r="AN41" s="225">
        <f>(AM39-AN39)+(Y39-Z39)</f>
        <v>1229641.5360670001</v>
      </c>
    </row>
    <row r="43" spans="1:48" x14ac:dyDescent="0.25">
      <c r="A43" s="268" t="s">
        <v>38</v>
      </c>
      <c r="B43" s="269"/>
      <c r="C43" s="91" t="s">
        <v>34</v>
      </c>
      <c r="Q43" s="264" t="s">
        <v>22</v>
      </c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65"/>
      <c r="AG43" s="264" t="s">
        <v>23</v>
      </c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65"/>
    </row>
    <row r="44" spans="1:48" ht="15" customHeight="1" x14ac:dyDescent="0.25">
      <c r="A44" s="268"/>
      <c r="B44" s="269"/>
      <c r="C44" s="138" t="s">
        <v>48</v>
      </c>
      <c r="Q44" s="264" t="s">
        <v>37</v>
      </c>
      <c r="R44" s="255"/>
      <c r="S44" s="255"/>
      <c r="T44" s="255"/>
      <c r="U44" s="255"/>
      <c r="V44" s="255"/>
      <c r="W44" s="255"/>
      <c r="X44" s="265"/>
      <c r="Y44" s="264" t="s">
        <v>30</v>
      </c>
      <c r="Z44" s="255"/>
      <c r="AA44" s="255"/>
      <c r="AB44" s="255"/>
      <c r="AC44" s="255"/>
      <c r="AD44" s="255"/>
      <c r="AE44" s="255"/>
      <c r="AF44" s="265"/>
      <c r="AG44" s="264" t="s">
        <v>37</v>
      </c>
      <c r="AH44" s="255"/>
      <c r="AI44" s="255"/>
      <c r="AJ44" s="255"/>
      <c r="AK44" s="255"/>
      <c r="AL44" s="255"/>
      <c r="AM44" s="255"/>
      <c r="AN44" s="265"/>
      <c r="AO44" s="264" t="s">
        <v>30</v>
      </c>
      <c r="AP44" s="255"/>
      <c r="AQ44" s="255"/>
      <c r="AR44" s="255"/>
      <c r="AS44" s="255"/>
      <c r="AT44" s="255"/>
      <c r="AU44" s="255"/>
      <c r="AV44" s="265"/>
    </row>
    <row r="45" spans="1:48" x14ac:dyDescent="0.25">
      <c r="A45" s="268"/>
      <c r="B45" s="269"/>
      <c r="C45" s="138"/>
      <c r="Q45" s="266" t="s">
        <v>16</v>
      </c>
      <c r="R45" s="267"/>
      <c r="S45" s="274"/>
      <c r="T45" s="264" t="s">
        <v>44</v>
      </c>
      <c r="U45" s="255"/>
      <c r="V45" s="255"/>
      <c r="W45" s="255"/>
      <c r="X45" s="265"/>
      <c r="Y45" s="266" t="s">
        <v>16</v>
      </c>
      <c r="Z45" s="267"/>
      <c r="AA45" s="274"/>
      <c r="AB45" s="264" t="s">
        <v>44</v>
      </c>
      <c r="AC45" s="255"/>
      <c r="AD45" s="255"/>
      <c r="AE45" s="255"/>
      <c r="AF45" s="265"/>
      <c r="AG45" s="266" t="s">
        <v>16</v>
      </c>
      <c r="AH45" s="267"/>
      <c r="AI45" s="267"/>
      <c r="AJ45" s="255" t="s">
        <v>44</v>
      </c>
      <c r="AK45" s="255"/>
      <c r="AL45" s="255"/>
      <c r="AM45" s="255"/>
      <c r="AN45" s="265"/>
      <c r="AO45" s="266" t="s">
        <v>16</v>
      </c>
      <c r="AP45" s="267"/>
      <c r="AQ45" s="267"/>
      <c r="AR45" s="255" t="s">
        <v>44</v>
      </c>
      <c r="AS45" s="255"/>
      <c r="AT45" s="255"/>
      <c r="AU45" s="255"/>
      <c r="AV45" s="265"/>
    </row>
    <row r="46" spans="1:48" x14ac:dyDescent="0.25">
      <c r="A46" s="6" t="s">
        <v>7</v>
      </c>
      <c r="B46" s="6" t="s">
        <v>8</v>
      </c>
      <c r="C46" s="8" t="s">
        <v>24</v>
      </c>
      <c r="Q46" s="149" t="s">
        <v>26</v>
      </c>
      <c r="R46" s="150" t="s">
        <v>27</v>
      </c>
      <c r="S46" s="151" t="s">
        <v>28</v>
      </c>
      <c r="T46" s="153" t="s">
        <v>42</v>
      </c>
      <c r="U46" s="151" t="s">
        <v>43</v>
      </c>
      <c r="V46" s="151" t="s">
        <v>32</v>
      </c>
      <c r="W46" s="151" t="s">
        <v>31</v>
      </c>
      <c r="X46" s="150" t="s">
        <v>46</v>
      </c>
      <c r="Y46" s="149" t="s">
        <v>26</v>
      </c>
      <c r="Z46" s="150" t="s">
        <v>27</v>
      </c>
      <c r="AA46" s="151" t="s">
        <v>28</v>
      </c>
      <c r="AB46" s="153" t="s">
        <v>42</v>
      </c>
      <c r="AC46" s="151" t="s">
        <v>43</v>
      </c>
      <c r="AD46" s="151" t="s">
        <v>32</v>
      </c>
      <c r="AE46" s="151" t="s">
        <v>31</v>
      </c>
      <c r="AF46" s="150" t="s">
        <v>41</v>
      </c>
      <c r="AG46" s="149" t="s">
        <v>26</v>
      </c>
      <c r="AH46" s="150" t="s">
        <v>27</v>
      </c>
      <c r="AI46" s="151" t="s">
        <v>28</v>
      </c>
      <c r="AJ46" s="151" t="s">
        <v>42</v>
      </c>
      <c r="AK46" s="151" t="s">
        <v>43</v>
      </c>
      <c r="AL46" s="151" t="s">
        <v>32</v>
      </c>
      <c r="AM46" s="151" t="s">
        <v>31</v>
      </c>
      <c r="AN46" s="150" t="s">
        <v>41</v>
      </c>
      <c r="AO46" s="149" t="s">
        <v>26</v>
      </c>
      <c r="AP46" s="150" t="s">
        <v>27</v>
      </c>
      <c r="AQ46" s="151" t="s">
        <v>28</v>
      </c>
      <c r="AR46" s="151" t="s">
        <v>42</v>
      </c>
      <c r="AS46" s="151" t="s">
        <v>43</v>
      </c>
      <c r="AT46" s="151" t="s">
        <v>32</v>
      </c>
      <c r="AU46" s="151" t="s">
        <v>31</v>
      </c>
      <c r="AV46" s="152" t="s">
        <v>41</v>
      </c>
    </row>
    <row r="47" spans="1:48" x14ac:dyDescent="0.25">
      <c r="A47" s="260">
        <v>2012</v>
      </c>
      <c r="B47" s="12" t="s">
        <v>0</v>
      </c>
      <c r="C47" s="18">
        <f>Inpatient!C7/IncidenceComplications!G4</f>
        <v>2.3109243697478993E-2</v>
      </c>
      <c r="D47" s="18"/>
      <c r="Q47" s="166">
        <f>Inpatient!S7-Inpatient!T7</f>
        <v>0</v>
      </c>
      <c r="R47" s="23">
        <f>Inpatient!U7-Inpatient!V7</f>
        <v>0</v>
      </c>
      <c r="S47" s="23">
        <f>SQRT(Inpatient!W7^2+Inpatient!X7^2)</f>
        <v>0</v>
      </c>
      <c r="T47" s="167">
        <f>(Inpatient!$S7-1)*Inpatient!$W7+(Inpatient!$T7-1)*Inpatient!$X7/(Inpatient!$S7+Inpatient!$T7-2)</f>
        <v>0</v>
      </c>
      <c r="U47" s="23" t="str">
        <f>IF(T47&gt;0,ABS(R47)/(SQRT((Inpatient!W7/Inpatient!$S7)+(Inpatient!X7/Inpatient!$T7))),"n.a.")</f>
        <v>n.a.</v>
      </c>
      <c r="V47" s="23" t="e">
        <f>(Inpatient!W7^2/Inpatient!$S7+Inpatient!X7^2/Inpatient!$T7)/((Inpatient!W7^2/Inpatient!$S7)/(Inpatient!$S7-1)+(Inpatient!X7^2/Inpatient!$T7)/(Inpatient!$T7-1))</f>
        <v>#DIV/0!</v>
      </c>
      <c r="W47" s="23" t="e">
        <f t="shared" ref="W47:W79" si="21">_xlfn.T.INV.2T(0.05,V47)</f>
        <v>#DIV/0!</v>
      </c>
      <c r="X47" s="23" t="e">
        <f t="shared" ref="X47:X79" si="22">_xlfn.T.DIST.2T(U47,V47)</f>
        <v>#VALUE!</v>
      </c>
      <c r="Y47" s="167">
        <f>Inpatient!Y7-Inpatient!Z7</f>
        <v>0</v>
      </c>
      <c r="Z47" s="23" t="e">
        <f>Inpatient!AA7-Inpatient!AB7</f>
        <v>#VALUE!</v>
      </c>
      <c r="AA47" s="23">
        <f>SQRT(Inpatient!AC7^2+Inpatient!AD7^2)</f>
        <v>0</v>
      </c>
      <c r="AB47" s="167">
        <f>(Inpatient!$S7-1)*Inpatient!$AC7+(Inpatient!$T7-1)*Inpatient!$AD7/(Inpatient!$S7+Inpatient!$T7-2)</f>
        <v>0</v>
      </c>
      <c r="AC47" s="23" t="str">
        <f>IF(AB47&gt;0,ABS(Z47)/(AB47*SQRT((1/Inpatient!$S7)+(1/Inpatient!$T7))),"n.a.")</f>
        <v>n.a.</v>
      </c>
      <c r="AD47" s="23" t="e">
        <f>(Inpatient!AC7^2/Inpatient!$S7+Inpatient!AD7^2/Inpatient!$T7)/((Inpatient!AC7^2/Inpatient!$S7)/(Inpatient!$S7-1)+(Inpatient!AD7^2/Inpatient!$T7)/(Inpatient!$T7-1))</f>
        <v>#DIV/0!</v>
      </c>
      <c r="AE47" s="23" t="e">
        <f t="shared" ref="AE47:AE78" si="23">_xlfn.T.INV.2T(0.05,AD47)</f>
        <v>#DIV/0!</v>
      </c>
      <c r="AF47" s="23" t="e">
        <f t="shared" ref="AF47:AF78" si="24">_xlfn.T.DIST.2T(AC47,AD47)</f>
        <v>#VALUE!</v>
      </c>
      <c r="AG47" s="167">
        <f>Inpatient!AG7-Inpatient!AH7</f>
        <v>25</v>
      </c>
      <c r="AH47" s="23">
        <f>Inpatient!AI7-Inpatient!AJ7</f>
        <v>5</v>
      </c>
      <c r="AI47" s="23">
        <f>SQRT(Inpatient!AK7^2+Inpatient!AL7^2)</f>
        <v>1.2247448713915901</v>
      </c>
      <c r="AJ47" s="23">
        <f>(Inpatient!$AG7-1)*Inpatient!$AK7+(Inpatient!$AH7-1)*Inpatient!$AL7/(Inpatient!$AG7+Inpatient!$AH7-2)</f>
        <v>29.393876913398159</v>
      </c>
      <c r="AK47" s="23" t="e">
        <f>ABS(AH47)/SQRT((Inpatient!AK7/Inpatient!$AG7)+(Inpatient!AL7/Inpatient!$AH7))</f>
        <v>#DIV/0!</v>
      </c>
      <c r="AL47" s="23" t="e">
        <f>(Inpatient!AK7^2/Inpatient!$AG7+Inpatient!AL7^2/Inpatient!$AH7)/((Inpatient!AK7^2/Inpatient!$AG7)/(Inpatient!$AG7-1)+(Inpatient!AL7^2/Inpatient!$AH7)/(Inpatient!$AH7-1))</f>
        <v>#DIV/0!</v>
      </c>
      <c r="AM47" s="23" t="e">
        <f t="shared" ref="AM47:AM79" si="25">_xlfn.T.INV.2T(0.05,AL47)</f>
        <v>#DIV/0!</v>
      </c>
      <c r="AN47" s="23" t="e">
        <f t="shared" ref="AN47:AN79" si="26">_xlfn.T.DIST.2T(AK47,AL47)</f>
        <v>#DIV/0!</v>
      </c>
      <c r="AO47" s="172">
        <f>Inpatient!AM7-Inpatient!AN7</f>
        <v>18394.542111999999</v>
      </c>
      <c r="AP47" s="154">
        <f>Inpatient!AO7-Inpatient!AP7</f>
        <v>3678.9084223999998</v>
      </c>
      <c r="AQ47" s="154">
        <f>SQRT(Inpatient!AQ7^2+Inpatient!AR7^2)</f>
        <v>1894.53795456904</v>
      </c>
      <c r="AR47" s="160">
        <f>(Inpatient!$AG7-1)*Inpatient!$AQ7+(Inpatient!$AH7-1)*Inpatient!$AR7/(Inpatient!$AG7+Inpatient!$AH7-2)</f>
        <v>45468.910909656959</v>
      </c>
      <c r="AS47" s="23" t="e">
        <f>ABS(AP47)/SQRT(Inpatient!AQ7^2/Inpatient!AE7+Inpatient!AR7^2/Inpatient!AF7)</f>
        <v>#DIV/0!</v>
      </c>
      <c r="AT47" s="23" t="e">
        <f>(Inpatient!AQ7^2/Inpatient!$AG7+Inpatient!AR7^2/Inpatient!$AH7)/((Inpatient!AQ7^2/Inpatient!$AG7)/(Inpatient!$AG7-1)+(Inpatient!AR7^2/Inpatient!$AH7)/(Inpatient!$AH7-1))</f>
        <v>#DIV/0!</v>
      </c>
      <c r="AU47" s="23" t="e">
        <f t="shared" ref="AU47:AU78" si="27">_xlfn.T.INV.2T(0.05,AT47)</f>
        <v>#DIV/0!</v>
      </c>
      <c r="AV47" s="177" t="e">
        <f t="shared" ref="AV47:AV78" si="28">_xlfn.T.DIST.2T(AS47,AT47)</f>
        <v>#DIV/0!</v>
      </c>
    </row>
    <row r="48" spans="1:48" x14ac:dyDescent="0.25">
      <c r="A48" s="261"/>
      <c r="B48" s="5" t="s">
        <v>1</v>
      </c>
      <c r="C48" s="18">
        <f>Inpatient!C8/IncidenceComplications!G5</f>
        <v>8.4745762711864406E-3</v>
      </c>
      <c r="D48" s="18"/>
      <c r="Q48" s="167">
        <f>Inpatient!S8-Inpatient!T8</f>
        <v>-3</v>
      </c>
      <c r="R48" s="23">
        <f>Inpatient!U8-Inpatient!V8</f>
        <v>-3</v>
      </c>
      <c r="S48" s="23">
        <f>SQRT(Inpatient!W8^2+Inpatient!X8^2)</f>
        <v>0</v>
      </c>
      <c r="T48" s="167">
        <f>(Inpatient!$S8-1)*Inpatient!$W8+(Inpatient!$T8-1)*Inpatient!$X8/(Inpatient!$S8+Inpatient!$T8-2)</f>
        <v>0</v>
      </c>
      <c r="U48" s="23" t="str">
        <f>IF(T48&gt;0,ABS(R48)/(SQRT((Inpatient!W8/Inpatient!$S8)+(Inpatient!X8/Inpatient!$T8))),"n.a.")</f>
        <v>n.a.</v>
      </c>
      <c r="V48" s="23" t="e">
        <f>(Inpatient!W8^2/Inpatient!Q8+Inpatient!X8^2/Inpatient!R8)/((Inpatient!W8^2/Inpatient!Q8)/(Inpatient!Q8-1)+(Inpatient!X8^2/Inpatient!R8)/(Inpatient!R8-1))</f>
        <v>#DIV/0!</v>
      </c>
      <c r="W48" s="23" t="e">
        <f t="shared" si="21"/>
        <v>#DIV/0!</v>
      </c>
      <c r="X48" s="23" t="e">
        <f t="shared" si="22"/>
        <v>#VALUE!</v>
      </c>
      <c r="Y48" s="167">
        <f>Inpatient!Y8-Inpatient!Z8</f>
        <v>-210.87905300000011</v>
      </c>
      <c r="Z48" s="23">
        <f>Inpatient!AA8-Inpatient!AB8</f>
        <v>-210.87905300000011</v>
      </c>
      <c r="AA48" s="23">
        <f>SQRT(Inpatient!AC8^2+Inpatient!AD8^2)</f>
        <v>0</v>
      </c>
      <c r="AB48" s="167">
        <f>(Inpatient!$S8-1)*Inpatient!$AC8+(Inpatient!$T8-1)*Inpatient!$AD8/(Inpatient!$S8+Inpatient!$T8-2)</f>
        <v>0</v>
      </c>
      <c r="AC48" s="23" t="str">
        <f>IF(AB48&gt;0,ABS(Z48)/(AB48*SQRT((1/Inpatient!$S8)+(1/Inpatient!$T8))),"n.a.")</f>
        <v>n.a.</v>
      </c>
      <c r="AD48" s="23" t="e">
        <f>(Inpatient!AC8^2/Inpatient!$S8+Inpatient!AD8^2/Inpatient!$T8)/((Inpatient!AC8^2/Inpatient!$S8)/(Inpatient!$S8-1)+(Inpatient!AD8^2/Inpatient!$T8)/(Inpatient!$T8-1))</f>
        <v>#DIV/0!</v>
      </c>
      <c r="AE48" s="23" t="e">
        <f t="shared" si="23"/>
        <v>#DIV/0!</v>
      </c>
      <c r="AF48" s="23" t="e">
        <f t="shared" si="24"/>
        <v>#VALUE!</v>
      </c>
      <c r="AG48" s="167">
        <f>Inpatient!AG8-Inpatient!AH8</f>
        <v>45</v>
      </c>
      <c r="AH48" s="23">
        <f>Inpatient!AI8-Inpatient!AJ8</f>
        <v>0</v>
      </c>
      <c r="AI48" s="23">
        <f>SQRT(Inpatient!AK8^2+Inpatient!AL8^2)</f>
        <v>2.3734644158557177</v>
      </c>
      <c r="AJ48" s="23">
        <f>(Inpatient!$AG8-1)*Inpatient!$AK8+(Inpatient!$AH8-1)*Inpatient!$AL8/(Inpatient!$AG8+Inpatient!$AH8-2)</f>
        <v>104.20359679171393</v>
      </c>
      <c r="AK48" s="23">
        <f>ABS(AH48)/SQRT((Inpatient!AK8/Inpatient!$AG8)+(Inpatient!AL8/Inpatient!$AH8))</f>
        <v>0</v>
      </c>
      <c r="AL48" s="23">
        <f>(Inpatient!AK8^2/Inpatient!$AG8+Inpatient!AL8^2/Inpatient!$AH8)/((Inpatient!AK8^2/Inpatient!$AG8)/(Inpatient!$AG8-1)+(Inpatient!AL8^2/Inpatient!$AH8)/(Inpatient!$AH8-1))</f>
        <v>29.475677682881535</v>
      </c>
      <c r="AM48" s="23">
        <f t="shared" si="25"/>
        <v>2.0452296421327048</v>
      </c>
      <c r="AN48" s="23">
        <f t="shared" si="26"/>
        <v>1</v>
      </c>
      <c r="AO48" s="172">
        <f>Inpatient!AM8-Inpatient!AN8</f>
        <v>29887.394505000004</v>
      </c>
      <c r="AP48" s="154">
        <f>Inpatient!AO8-Inpatient!AP8</f>
        <v>287.96852447916672</v>
      </c>
      <c r="AQ48" s="154">
        <f>SQRT(Inpatient!AQ8^2+Inpatient!AR8^2)</f>
        <v>728.62524916459006</v>
      </c>
      <c r="AR48" s="160">
        <f>(Inpatient!$AG8-1)*Inpatient!$AQ8+(Inpatient!$AH8-1)*Inpatient!$AR8/(Inpatient!$AG8+Inpatient!$AH8-2)</f>
        <v>49785.940143240456</v>
      </c>
      <c r="AS48" s="23">
        <f>ABS(AP48)/SQRT(Inpatient!AQ8^2/Inpatient!AE8+Inpatient!AR8^2/Inpatient!AF8)</f>
        <v>1.4895533091987518</v>
      </c>
      <c r="AT48" s="23">
        <f>(Inpatient!AQ8^2/Inpatient!$AG8+Inpatient!AR8^2/Inpatient!$AH8)/((Inpatient!AQ8^2/Inpatient!$AG8)/(Inpatient!$AG8-1)+(Inpatient!AR8^2/Inpatient!$AH8)/(Inpatient!$AH8-1))</f>
        <v>54.168126495631249</v>
      </c>
      <c r="AU48" s="23">
        <f t="shared" si="27"/>
        <v>2.0048792881880577</v>
      </c>
      <c r="AV48" s="178">
        <f t="shared" si="28"/>
        <v>0.14215956348717437</v>
      </c>
    </row>
    <row r="49" spans="1:48" x14ac:dyDescent="0.25">
      <c r="A49" s="261"/>
      <c r="B49" s="5" t="s">
        <v>2</v>
      </c>
      <c r="C49" s="18">
        <f>Inpatient!C9/IncidenceComplications!G6</f>
        <v>5.4446460980036296E-3</v>
      </c>
      <c r="D49" s="18"/>
      <c r="Q49" s="167">
        <f>Inpatient!S9-Inpatient!T9</f>
        <v>-6</v>
      </c>
      <c r="R49" s="23">
        <f>Inpatient!U9-Inpatient!V9</f>
        <v>-3</v>
      </c>
      <c r="S49" s="23">
        <f>SQRT(Inpatient!W9^2+Inpatient!X9^2)</f>
        <v>0</v>
      </c>
      <c r="T49" s="167">
        <f>(Inpatient!$S9-1)*Inpatient!$W9+(Inpatient!$T9-1)*Inpatient!$X9/(Inpatient!$S9+Inpatient!$T9-2)</f>
        <v>0</v>
      </c>
      <c r="U49" s="23" t="str">
        <f>IF(T49&gt;0,ABS(R49)/(SQRT((Inpatient!W9/Inpatient!$S9)+(Inpatient!X9/Inpatient!$T9))),"n.a.")</f>
        <v>n.a.</v>
      </c>
      <c r="V49" s="23" t="e">
        <f>(Inpatient!W9^2/Inpatient!Q9+Inpatient!X9^2/Inpatient!R9)/((Inpatient!W9^2/Inpatient!Q9)/(Inpatient!Q9-1)+(Inpatient!X9^2/Inpatient!R9)/(Inpatient!R9-1))</f>
        <v>#DIV/0!</v>
      </c>
      <c r="W49" s="23" t="e">
        <f t="shared" si="21"/>
        <v>#DIV/0!</v>
      </c>
      <c r="X49" s="23" t="e">
        <f t="shared" si="22"/>
        <v>#VALUE!</v>
      </c>
      <c r="Y49" s="167">
        <f>Inpatient!Y9-Inpatient!Z9</f>
        <v>-4740.1412469999996</v>
      </c>
      <c r="Z49" s="23" t="e">
        <f>Inpatient!AA9-Inpatient!AB9</f>
        <v>#VALUE!</v>
      </c>
      <c r="AA49" s="23">
        <f>SQRT(Inpatient!AC9^2+Inpatient!AD9^2)</f>
        <v>1161.4162052327199</v>
      </c>
      <c r="AB49" s="167">
        <f>(Inpatient!$S9-1)*Inpatient!$AC9+(Inpatient!$T9-1)*Inpatient!$AD9/(Inpatient!$S9+Inpatient!$T9-2)</f>
        <v>1451.7702565408999</v>
      </c>
      <c r="AC49" s="23" t="e">
        <f>IF(AB49&gt;0,ABS(Z49)/(AB49*SQRT((1/Inpatient!$S9)+(1/Inpatient!$T9))),"n.a.")</f>
        <v>#VALUE!</v>
      </c>
      <c r="AD49" s="23" t="e">
        <f>(Inpatient!AC9^2/Inpatient!$S9+Inpatient!AD9^2/Inpatient!$T9)/((Inpatient!AC9^2/Inpatient!$S9)/(Inpatient!$S9-1)+(Inpatient!AD9^2/Inpatient!$T9)/(Inpatient!$T9-1))</f>
        <v>#DIV/0!</v>
      </c>
      <c r="AE49" s="23" t="e">
        <f t="shared" si="23"/>
        <v>#DIV/0!</v>
      </c>
      <c r="AF49" s="23" t="e">
        <f t="shared" si="24"/>
        <v>#VALUE!</v>
      </c>
      <c r="AG49" s="167">
        <f>Inpatient!AG9-Inpatient!AH9</f>
        <v>52</v>
      </c>
      <c r="AH49" s="23">
        <f>Inpatient!AI9-Inpatient!AJ9</f>
        <v>3</v>
      </c>
      <c r="AI49" s="23">
        <f>SQRT(Inpatient!AK9^2+Inpatient!AL9^2)</f>
        <v>3.8172540616821098</v>
      </c>
      <c r="AJ49" s="23">
        <f>(Inpatient!$AG9-1)*Inpatient!$AK9+(Inpatient!$AH9-1)*Inpatient!$AL9/(Inpatient!$AG9+Inpatient!$AH9-2)</f>
        <v>209.94897339251605</v>
      </c>
      <c r="AK49" s="23">
        <f>ABS(AH49)/SQRT((Inpatient!AK9/Inpatient!$AG9)+(Inpatient!AL9/Inpatient!$AH9))</f>
        <v>11.490521383422386</v>
      </c>
      <c r="AL49" s="23">
        <f>(Inpatient!AK9^2/Inpatient!$AG9+Inpatient!AL9^2/Inpatient!$AH9)/((Inpatient!AK9^2/Inpatient!$AG9)/(Inpatient!$AG9-1)+(Inpatient!AL9^2/Inpatient!$AH9)/(Inpatient!$AH9-1))</f>
        <v>55</v>
      </c>
      <c r="AM49" s="23">
        <f t="shared" si="25"/>
        <v>2.0040447832891455</v>
      </c>
      <c r="AN49" s="23">
        <f t="shared" si="26"/>
        <v>3.0518559916270455E-16</v>
      </c>
      <c r="AO49" s="172">
        <f>Inpatient!AM9-Inpatient!AN9</f>
        <v>18717.106734999998</v>
      </c>
      <c r="AP49" s="154">
        <f>Inpatient!AO9-Inpatient!AP9</f>
        <v>145.35413699999981</v>
      </c>
      <c r="AQ49" s="154">
        <f>SQRT(Inpatient!AQ9^2+Inpatient!AR9^2)</f>
        <v>579.55898587269701</v>
      </c>
      <c r="AR49" s="160">
        <f>(Inpatient!$AG9-1)*Inpatient!$AQ9+(Inpatient!$AH9-1)*Inpatient!$AR9/(Inpatient!$AG9+Inpatient!$AH9-2)</f>
        <v>31875.744222998335</v>
      </c>
      <c r="AS49" s="23">
        <f>ABS(AP49)/SQRT(Inpatient!AQ9^2/Inpatient!AE9+Inpatient!AR9^2/Inpatient!AF9)</f>
        <v>0.7093731506307428</v>
      </c>
      <c r="AT49" s="23">
        <f>(Inpatient!AQ9^2/Inpatient!$AG9+Inpatient!AR9^2/Inpatient!$AH9)/((Inpatient!AQ9^2/Inpatient!$AG9)/(Inpatient!$AG9-1)+(Inpatient!AR9^2/Inpatient!$AH9)/(Inpatient!$AH9-1))</f>
        <v>55</v>
      </c>
      <c r="AU49" s="23">
        <f t="shared" si="27"/>
        <v>2.0040447832891455</v>
      </c>
      <c r="AV49" s="178">
        <f t="shared" si="28"/>
        <v>0.48108943696582374</v>
      </c>
    </row>
    <row r="50" spans="1:48" x14ac:dyDescent="0.25">
      <c r="A50" s="261"/>
      <c r="B50" s="5" t="s">
        <v>3</v>
      </c>
      <c r="C50" s="18">
        <f>Inpatient!C10/IncidenceComplications!G7</f>
        <v>6.3976377952755905E-3</v>
      </c>
      <c r="D50" s="18"/>
      <c r="Q50" s="167">
        <f>Inpatient!S10-Inpatient!T10</f>
        <v>0</v>
      </c>
      <c r="R50" s="23">
        <f>Inpatient!U10-Inpatient!V10</f>
        <v>0</v>
      </c>
      <c r="S50" s="23">
        <f>SQRT(Inpatient!W10^2+Inpatient!X10^2)</f>
        <v>0</v>
      </c>
      <c r="T50" s="167">
        <f>(Inpatient!$S10-1)*Inpatient!$W10+(Inpatient!$T10-1)*Inpatient!$X10/(Inpatient!$S10+Inpatient!$T10-2)</f>
        <v>0</v>
      </c>
      <c r="U50" s="23" t="str">
        <f>IF(T50&gt;0,ABS(R50)/(SQRT((Inpatient!W10/Inpatient!$S10)+(Inpatient!X10/Inpatient!$T10))),"n.a.")</f>
        <v>n.a.</v>
      </c>
      <c r="V50" s="23" t="e">
        <f>(Inpatient!W10^2/Inpatient!Q10+Inpatient!X10^2/Inpatient!R10)/((Inpatient!W10^2/Inpatient!Q10)/(Inpatient!Q10-1)+(Inpatient!X10^2/Inpatient!R10)/(Inpatient!R10-1))</f>
        <v>#DIV/0!</v>
      </c>
      <c r="W50" s="23" t="e">
        <f t="shared" si="21"/>
        <v>#DIV/0!</v>
      </c>
      <c r="X50" s="23" t="e">
        <f t="shared" si="22"/>
        <v>#VALUE!</v>
      </c>
      <c r="Y50" s="167">
        <f>Inpatient!Y10-Inpatient!Z10</f>
        <v>0</v>
      </c>
      <c r="Z50" s="23" t="e">
        <f>Inpatient!AA10-Inpatient!AB10</f>
        <v>#VALUE!</v>
      </c>
      <c r="AA50" s="23">
        <f>SQRT(Inpatient!AC10^2+Inpatient!AD10^2)</f>
        <v>0</v>
      </c>
      <c r="AB50" s="167">
        <f>(Inpatient!$S10-1)*Inpatient!$AC10+(Inpatient!$T10-1)*Inpatient!$AD10/(Inpatient!$S10+Inpatient!$T10-2)</f>
        <v>0</v>
      </c>
      <c r="AC50" s="23" t="str">
        <f>IF(AB50&gt;0,ABS(Z50)/(AB50*SQRT((1/Inpatient!$S10)+(1/Inpatient!$T10))),"n.a.")</f>
        <v>n.a.</v>
      </c>
      <c r="AD50" s="23" t="e">
        <f>(Inpatient!AC10^2/Inpatient!$S10+Inpatient!AD10^2/Inpatient!$T10)/((Inpatient!AC10^2/Inpatient!$S10)/(Inpatient!$S10-1)+(Inpatient!AD10^2/Inpatient!$T10)/(Inpatient!$T10-1))</f>
        <v>#DIV/0!</v>
      </c>
      <c r="AE50" s="23" t="e">
        <f t="shared" si="23"/>
        <v>#DIV/0!</v>
      </c>
      <c r="AF50" s="23" t="e">
        <f t="shared" si="24"/>
        <v>#VALUE!</v>
      </c>
      <c r="AG50" s="167">
        <f>Inpatient!AG10-Inpatient!AH10</f>
        <v>46</v>
      </c>
      <c r="AH50" s="23">
        <f>Inpatient!AI10-Inpatient!AJ10</f>
        <v>7.666666666666667</v>
      </c>
      <c r="AI50" s="23">
        <f>SQRT(Inpatient!AK10^2+Inpatient!AL10^2)</f>
        <v>4.3204937989385703</v>
      </c>
      <c r="AJ50" s="23">
        <f>(Inpatient!$AG10-1)*Inpatient!$AK10+(Inpatient!$AH10-1)*Inpatient!$AL10/(Inpatient!$AG10+Inpatient!$AH10-2)</f>
        <v>194.42222095223568</v>
      </c>
      <c r="AK50" s="23" t="e">
        <f>ABS(AH50)/SQRT((Inpatient!AK10/Inpatient!$AG10)+(Inpatient!AL10/Inpatient!$AH10))</f>
        <v>#DIV/0!</v>
      </c>
      <c r="AL50" s="23" t="e">
        <f>(Inpatient!AK10^2/Inpatient!$AG10+Inpatient!AL10^2/Inpatient!$AH10)/((Inpatient!AK10^2/Inpatient!$AG10)/(Inpatient!$AG10-1)+(Inpatient!AL10^2/Inpatient!$AH10)/(Inpatient!$AH10-1))</f>
        <v>#DIV/0!</v>
      </c>
      <c r="AM50" s="23" t="e">
        <f t="shared" si="25"/>
        <v>#DIV/0!</v>
      </c>
      <c r="AN50" s="23" t="e">
        <f t="shared" si="26"/>
        <v>#DIV/0!</v>
      </c>
      <c r="AO50" s="172">
        <f>Inpatient!AM10-Inpatient!AN10</f>
        <v>13855.536701000001</v>
      </c>
      <c r="AP50" s="154">
        <f>Inpatient!AO10-Inpatient!AP10</f>
        <v>2309.2561168333336</v>
      </c>
      <c r="AQ50" s="154">
        <f>SQRT(Inpatient!AQ10^2+Inpatient!AR10^2)</f>
        <v>134.64716562082</v>
      </c>
      <c r="AR50" s="160">
        <f>(Inpatient!$AG10-1)*Inpatient!$AQ10+(Inpatient!$AH10-1)*Inpatient!$AR10/(Inpatient!$AG10+Inpatient!$AH10-2)</f>
        <v>6059.1224529369001</v>
      </c>
      <c r="AS50" s="23" t="e">
        <f>ABS(AP50)/SQRT(Inpatient!AQ10^2/Inpatient!AE10+Inpatient!AR10^2/Inpatient!AF10)</f>
        <v>#DIV/0!</v>
      </c>
      <c r="AT50" s="23" t="e">
        <f>(Inpatient!AQ10^2/Inpatient!$AG10+Inpatient!AR10^2/Inpatient!$AH10)/((Inpatient!AQ10^2/Inpatient!$AG10)/(Inpatient!$AG10-1)+(Inpatient!AR10^2/Inpatient!$AH10)/(Inpatient!$AH10-1))</f>
        <v>#DIV/0!</v>
      </c>
      <c r="AU50" s="23" t="e">
        <f t="shared" si="27"/>
        <v>#DIV/0!</v>
      </c>
      <c r="AV50" s="178" t="e">
        <f t="shared" si="28"/>
        <v>#DIV/0!</v>
      </c>
    </row>
    <row r="51" spans="1:48" x14ac:dyDescent="0.25">
      <c r="A51" s="261"/>
      <c r="B51" s="5" t="s">
        <v>4</v>
      </c>
      <c r="C51" s="18">
        <f>Inpatient!C11/IncidenceComplications!G8</f>
        <v>2.7268595667323133E-3</v>
      </c>
      <c r="D51" s="18"/>
      <c r="Q51" s="167">
        <f>Inpatient!S11-Inpatient!T11</f>
        <v>10</v>
      </c>
      <c r="R51" s="23">
        <f>Inpatient!U11-Inpatient!V11</f>
        <v>10</v>
      </c>
      <c r="S51" s="23">
        <f>SQRT(Inpatient!W11^2+Inpatient!X11^2)</f>
        <v>0</v>
      </c>
      <c r="T51" s="167">
        <f>(Inpatient!$S11-1)*Inpatient!$W11+(Inpatient!$T11-1)*Inpatient!$X11/(Inpatient!$S11+Inpatient!$T11-2)</f>
        <v>0</v>
      </c>
      <c r="U51" s="23" t="str">
        <f>IF(T51&gt;0,ABS(R51)/(SQRT((Inpatient!W11/Inpatient!$S11)+(Inpatient!X11/Inpatient!$T11))),"n.a.")</f>
        <v>n.a.</v>
      </c>
      <c r="V51" s="23" t="e">
        <f>(Inpatient!W11^2/Inpatient!Q11+Inpatient!X11^2/Inpatient!R11)/((Inpatient!W11^2/Inpatient!Q11)/(Inpatient!Q11-1)+(Inpatient!X11^2/Inpatient!R11)/(Inpatient!R11-1))</f>
        <v>#DIV/0!</v>
      </c>
      <c r="W51" s="23" t="e">
        <f t="shared" si="21"/>
        <v>#DIV/0!</v>
      </c>
      <c r="X51" s="23" t="e">
        <f t="shared" si="22"/>
        <v>#VALUE!</v>
      </c>
      <c r="Y51" s="167">
        <f>Inpatient!Y11-Inpatient!Z11</f>
        <v>1094.3149660000001</v>
      </c>
      <c r="Z51" s="23">
        <f>Inpatient!AA11-Inpatient!AB11</f>
        <v>1094.3149660000001</v>
      </c>
      <c r="AA51" s="23">
        <f>SQRT(Inpatient!AC11^2+Inpatient!AD11^2)</f>
        <v>0</v>
      </c>
      <c r="AB51" s="167">
        <f>(Inpatient!$S11-1)*Inpatient!$AC11+(Inpatient!$T11-1)*Inpatient!$AD11/(Inpatient!$S11+Inpatient!$T11-2)</f>
        <v>0</v>
      </c>
      <c r="AC51" s="23" t="str">
        <f>IF(AB51&gt;0,ABS(Z51)/(AB51*SQRT((1/Inpatient!$S11)+(1/Inpatient!$T11))),"n.a.")</f>
        <v>n.a.</v>
      </c>
      <c r="AD51" s="23" t="e">
        <f>(Inpatient!AC11^2/Inpatient!$S11+Inpatient!AD11^2/Inpatient!$T11)/((Inpatient!AC11^2/Inpatient!$S11)/(Inpatient!$S11-1)+(Inpatient!AD11^2/Inpatient!$T11)/(Inpatient!$T11-1))</f>
        <v>#DIV/0!</v>
      </c>
      <c r="AE51" s="23" t="e">
        <f t="shared" si="23"/>
        <v>#DIV/0!</v>
      </c>
      <c r="AF51" s="23" t="e">
        <f t="shared" si="24"/>
        <v>#VALUE!</v>
      </c>
      <c r="AG51" s="167">
        <f>Inpatient!AG11-Inpatient!AH11</f>
        <v>87</v>
      </c>
      <c r="AH51" s="23">
        <f>Inpatient!AI11-Inpatient!AJ11</f>
        <v>6.6923076923076925</v>
      </c>
      <c r="AI51" s="23">
        <f>SQRT(Inpatient!AK11^2+Inpatient!AL11^2)</f>
        <v>3.3760088710540899</v>
      </c>
      <c r="AJ51" s="23">
        <f>(Inpatient!$AG11-1)*Inpatient!$AK11+(Inpatient!$AH11-1)*Inpatient!$AL11/(Inpatient!$AG11+Inpatient!$AH11-2)</f>
        <v>290.33676291065171</v>
      </c>
      <c r="AK51" s="23" t="e">
        <f>ABS(AH51)/SQRT((Inpatient!AK11/Inpatient!$AG11)+(Inpatient!AL11/Inpatient!$AH11))</f>
        <v>#DIV/0!</v>
      </c>
      <c r="AL51" s="23" t="e">
        <f>(Inpatient!AK11^2/Inpatient!$AG11+Inpatient!AL11^2/Inpatient!$AH11)/((Inpatient!AK11^2/Inpatient!$AG11)/(Inpatient!$AG11-1)+(Inpatient!AL11^2/Inpatient!$AH11)/(Inpatient!$AH11-1))</f>
        <v>#DIV/0!</v>
      </c>
      <c r="AM51" s="23" t="e">
        <f t="shared" si="25"/>
        <v>#DIV/0!</v>
      </c>
      <c r="AN51" s="23" t="e">
        <f t="shared" si="26"/>
        <v>#DIV/0!</v>
      </c>
      <c r="AO51" s="172">
        <f>Inpatient!AM11-Inpatient!AN11</f>
        <v>28430.371233000002</v>
      </c>
      <c r="AP51" s="154">
        <f>Inpatient!AO11-Inpatient!AP11</f>
        <v>2186.9516333076926</v>
      </c>
      <c r="AQ51" s="154">
        <f>SQRT(Inpatient!AQ11^2+Inpatient!AR11^2)</f>
        <v>180.378170168157</v>
      </c>
      <c r="AR51" s="160">
        <f>(Inpatient!$AG11-1)*Inpatient!$AQ11+(Inpatient!$AH11-1)*Inpatient!$AR11/(Inpatient!$AG11+Inpatient!$AH11-2)</f>
        <v>15512.522634461502</v>
      </c>
      <c r="AS51" s="23" t="e">
        <f>ABS(AP51)/SQRT(Inpatient!AQ11^2/Inpatient!AE11+Inpatient!AR11^2/Inpatient!AF11)</f>
        <v>#DIV/0!</v>
      </c>
      <c r="AT51" s="23" t="e">
        <f>(Inpatient!AQ11^2/Inpatient!$AG11+Inpatient!AR11^2/Inpatient!$AH11)/((Inpatient!AQ11^2/Inpatient!$AG11)/(Inpatient!$AG11-1)+(Inpatient!AR11^2/Inpatient!$AH11)/(Inpatient!$AH11-1))</f>
        <v>#DIV/0!</v>
      </c>
      <c r="AU51" s="23" t="e">
        <f t="shared" si="27"/>
        <v>#DIV/0!</v>
      </c>
      <c r="AV51" s="178" t="e">
        <f t="shared" si="28"/>
        <v>#DIV/0!</v>
      </c>
    </row>
    <row r="52" spans="1:48" x14ac:dyDescent="0.25">
      <c r="A52" s="261"/>
      <c r="B52" s="5" t="s">
        <v>5</v>
      </c>
      <c r="C52" s="18">
        <f>Inpatient!C12/IncidenceComplications!G9</f>
        <v>1.8991348385735388E-3</v>
      </c>
      <c r="D52" s="18"/>
      <c r="Q52" s="167">
        <f>Inpatient!S12-Inpatient!T12</f>
        <v>4</v>
      </c>
      <c r="R52" s="23">
        <f>Inpatient!U12-Inpatient!V12</f>
        <v>4</v>
      </c>
      <c r="S52" s="23">
        <f>SQRT(Inpatient!W12^2+Inpatient!X12^2)</f>
        <v>0</v>
      </c>
      <c r="T52" s="167">
        <f>(Inpatient!$S12-1)*Inpatient!$W12+(Inpatient!$T12-1)*Inpatient!$X12/(Inpatient!$S12+Inpatient!$T12-2)</f>
        <v>0</v>
      </c>
      <c r="U52" s="23" t="str">
        <f>IF(T52&gt;0,ABS(R52)/(SQRT((Inpatient!W12/Inpatient!$S12)+(Inpatient!X12/Inpatient!$T12))),"n.a.")</f>
        <v>n.a.</v>
      </c>
      <c r="V52" s="23" t="e">
        <f>(Inpatient!W12^2/Inpatient!Q12+Inpatient!X12^2/Inpatient!R12)/((Inpatient!W12^2/Inpatient!Q12)/(Inpatient!Q12-1)+(Inpatient!X12^2/Inpatient!R12)/(Inpatient!R12-1))</f>
        <v>#DIV/0!</v>
      </c>
      <c r="W52" s="23" t="e">
        <f t="shared" si="21"/>
        <v>#DIV/0!</v>
      </c>
      <c r="X52" s="23" t="e">
        <f t="shared" si="22"/>
        <v>#VALUE!</v>
      </c>
      <c r="Y52" s="167">
        <f>Inpatient!Y12-Inpatient!Z12</f>
        <v>1776.9611970000001</v>
      </c>
      <c r="Z52" s="23" t="e">
        <f>Inpatient!AA12-Inpatient!AB12</f>
        <v>#VALUE!</v>
      </c>
      <c r="AA52" s="23">
        <f>SQRT(Inpatient!AC12^2+Inpatient!AD12^2)</f>
        <v>0</v>
      </c>
      <c r="AB52" s="167">
        <f>(Inpatient!$S12-1)*Inpatient!$AC12+(Inpatient!$T12-1)*Inpatient!$AD12/(Inpatient!$S12+Inpatient!$T12-2)</f>
        <v>0</v>
      </c>
      <c r="AC52" s="23" t="str">
        <f>IF(AB52&gt;0,ABS(Z52)/(AB52*SQRT((1/Inpatient!$S12)+(1/Inpatient!$T12))),"n.a.")</f>
        <v>n.a.</v>
      </c>
      <c r="AD52" s="23" t="e">
        <f>(Inpatient!AC12^2/Inpatient!$S12+Inpatient!AD12^2/Inpatient!$T12)/((Inpatient!AC12^2/Inpatient!$S12)/(Inpatient!$S12-1)+(Inpatient!AD12^2/Inpatient!$T12)/(Inpatient!$T12-1))</f>
        <v>#DIV/0!</v>
      </c>
      <c r="AE52" s="23" t="e">
        <f t="shared" si="23"/>
        <v>#DIV/0!</v>
      </c>
      <c r="AF52" s="23" t="e">
        <f t="shared" si="24"/>
        <v>#VALUE!</v>
      </c>
      <c r="AG52" s="167">
        <f>Inpatient!AG12-Inpatient!AH12</f>
        <v>147</v>
      </c>
      <c r="AH52" s="23">
        <f>Inpatient!AI12-Inpatient!AJ12</f>
        <v>3.5217391304347823</v>
      </c>
      <c r="AI52" s="23">
        <f>SQRT(Inpatient!AK12^2+Inpatient!AL12^2)</f>
        <v>3.1315050871221599</v>
      </c>
      <c r="AJ52" s="23">
        <f>(Inpatient!$AG12-1)*Inpatient!$AK12+(Inpatient!$AH12-1)*Inpatient!$AL12/(Inpatient!$AG12+Inpatient!$AH12-2)</f>
        <v>466.59425798120185</v>
      </c>
      <c r="AK52" s="23">
        <f>ABS(AH52)/SQRT((Inpatient!AK12/Inpatient!$AG12)+(Inpatient!AL12/Inpatient!$AH12))</f>
        <v>24.373968841493504</v>
      </c>
      <c r="AL52" s="23">
        <f>(Inpatient!AK12^2/Inpatient!$AG12+Inpatient!AL12^2/Inpatient!$AH12)/((Inpatient!AK12^2/Inpatient!$AG12)/(Inpatient!$AG12-1)+(Inpatient!AL12^2/Inpatient!$AH12)/(Inpatient!$AH12-1))</f>
        <v>149</v>
      </c>
      <c r="AM52" s="23">
        <f t="shared" si="25"/>
        <v>1.976013177689196</v>
      </c>
      <c r="AN52" s="23">
        <f t="shared" si="26"/>
        <v>7.4519560446354406E-54</v>
      </c>
      <c r="AO52" s="172">
        <f>Inpatient!AM12-Inpatient!AN12</f>
        <v>51896.476685000001</v>
      </c>
      <c r="AP52" s="154">
        <f>Inpatient!AO12-Inpatient!AP12</f>
        <v>169.83014630434764</v>
      </c>
      <c r="AQ52" s="154">
        <f>SQRT(Inpatient!AQ12^2+Inpatient!AR12^2)</f>
        <v>594.01465671192602</v>
      </c>
      <c r="AR52" s="160">
        <f>(Inpatient!$AG12-1)*Inpatient!$AQ12+(Inpatient!$AH12-1)*Inpatient!$AR12/(Inpatient!$AG12+Inpatient!$AH12-2)</f>
        <v>88508.183850076981</v>
      </c>
      <c r="AS52" s="23">
        <f>ABS(AP52)/SQRT(Inpatient!AQ12^2/Inpatient!AE12+Inpatient!AR12^2/Inpatient!AF12)</f>
        <v>1.3711391799044297</v>
      </c>
      <c r="AT52" s="23">
        <f>(Inpatient!AQ12^2/Inpatient!$AG12+Inpatient!AR12^2/Inpatient!$AH12)/((Inpatient!AQ12^2/Inpatient!$AG12)/(Inpatient!$AG12-1)+(Inpatient!AR12^2/Inpatient!$AH12)/(Inpatient!$AH12-1))</f>
        <v>149</v>
      </c>
      <c r="AU52" s="23">
        <f t="shared" si="27"/>
        <v>1.976013177689196</v>
      </c>
      <c r="AV52" s="178">
        <f t="shared" si="28"/>
        <v>0.1723931614208801</v>
      </c>
    </row>
    <row r="53" spans="1:48" x14ac:dyDescent="0.25">
      <c r="A53" s="261"/>
      <c r="B53" s="6" t="s">
        <v>6</v>
      </c>
      <c r="C53" s="19">
        <f>Inpatient!C13/IncidenceComplications!G10</f>
        <v>5.647438483259379E-3</v>
      </c>
      <c r="D53" s="19"/>
      <c r="Q53" s="168">
        <f>Inpatient!S13-Inpatient!T13</f>
        <v>0</v>
      </c>
      <c r="R53" s="24">
        <f>Inpatient!U13-Inpatient!V13</f>
        <v>0</v>
      </c>
      <c r="S53" s="24">
        <f>SQRT(Inpatient!W13^2+Inpatient!X13^2)</f>
        <v>0</v>
      </c>
      <c r="T53" s="168">
        <f>(Inpatient!$S13-1)*Inpatient!$W13+(Inpatient!$T13-1)*Inpatient!$X13/(Inpatient!$S13+Inpatient!$T13-2)</f>
        <v>0</v>
      </c>
      <c r="U53" s="24" t="str">
        <f>IF(T53&gt;0,ABS(R53)/(SQRT((Inpatient!W13/Inpatient!$S13)+(Inpatient!X13/Inpatient!$T13))),"n.a.")</f>
        <v>n.a.</v>
      </c>
      <c r="V53" s="24" t="e">
        <f>(Inpatient!W13^2/Inpatient!Q13+Inpatient!X13^2/Inpatient!R13)/((Inpatient!W13^2/Inpatient!Q13)/(Inpatient!Q13-1)+(Inpatient!X13^2/Inpatient!R13)/(Inpatient!R13-1))</f>
        <v>#DIV/0!</v>
      </c>
      <c r="W53" s="24" t="e">
        <f t="shared" si="21"/>
        <v>#DIV/0!</v>
      </c>
      <c r="X53" s="24" t="e">
        <f t="shared" si="22"/>
        <v>#VALUE!</v>
      </c>
      <c r="Y53" s="168">
        <f>Inpatient!Y13-Inpatient!Z13</f>
        <v>0</v>
      </c>
      <c r="Z53" s="24" t="e">
        <f>Inpatient!AA13-Inpatient!AB13</f>
        <v>#VALUE!</v>
      </c>
      <c r="AA53" s="24">
        <f>SQRT(Inpatient!AC13^2+Inpatient!AD13^2)</f>
        <v>0</v>
      </c>
      <c r="AB53" s="168">
        <f>(Inpatient!$S13-1)*Inpatient!$AC13+(Inpatient!$T13-1)*Inpatient!$AD13/(Inpatient!$S13+Inpatient!$T13-2)</f>
        <v>0</v>
      </c>
      <c r="AC53" s="24" t="str">
        <f>IF(AB53&gt;0,ABS(Z53)/(AB53*SQRT((1/Inpatient!$S13)+(1/Inpatient!$T13))),"n.a.")</f>
        <v>n.a.</v>
      </c>
      <c r="AD53" s="24" t="e">
        <f>(Inpatient!AC13^2/Inpatient!$S13+Inpatient!AD13^2/Inpatient!$T13)/((Inpatient!AC13^2/Inpatient!$S13)/(Inpatient!$S13-1)+(Inpatient!AD13^2/Inpatient!$T13)/(Inpatient!$T13-1))</f>
        <v>#DIV/0!</v>
      </c>
      <c r="AE53" s="24" t="e">
        <f t="shared" si="23"/>
        <v>#DIV/0!</v>
      </c>
      <c r="AF53" s="24" t="e">
        <f t="shared" si="24"/>
        <v>#VALUE!</v>
      </c>
      <c r="AG53" s="168">
        <f>Inpatient!AG13-Inpatient!AH13</f>
        <v>209</v>
      </c>
      <c r="AH53" s="24">
        <f>Inpatient!AI13-Inpatient!AJ13</f>
        <v>5.7058823529411757</v>
      </c>
      <c r="AI53" s="24">
        <f>SQRT(Inpatient!AK13^2+Inpatient!AL13^2)</f>
        <v>10.4029124881109</v>
      </c>
      <c r="AJ53" s="24">
        <f>(Inpatient!$AG13-1)*Inpatient!$AK13+(Inpatient!$AH13-1)*Inpatient!$AL13/(Inpatient!$AG13+Inpatient!$AH13-2)</f>
        <v>2236.6261849438433</v>
      </c>
      <c r="AK53" s="24">
        <f>ABS(AH53)/SQRT((Inpatient!AK13/Inpatient!$AG13)+(Inpatient!AL13/Inpatient!$AH13))</f>
        <v>25.999932226672097</v>
      </c>
      <c r="AL53" s="24">
        <f>(Inpatient!AK13^2/Inpatient!$AG13+Inpatient!AL13^2/Inpatient!$AH13)/((Inpatient!AK13^2/Inpatient!$AG13)/(Inpatient!$AG13-1)+(Inpatient!AL13^2/Inpatient!$AH13)/(Inpatient!$AH13-1))</f>
        <v>215.00000000000003</v>
      </c>
      <c r="AM53" s="24">
        <f t="shared" si="25"/>
        <v>1.9710591221336478</v>
      </c>
      <c r="AN53" s="24">
        <f t="shared" si="26"/>
        <v>2.6303485249241633E-68</v>
      </c>
      <c r="AO53" s="173">
        <f>Inpatient!AM13-Inpatient!AN13</f>
        <v>75819.016728999995</v>
      </c>
      <c r="AP53" s="155">
        <f>Inpatient!AO13-Inpatient!AP13</f>
        <v>207.39834876470559</v>
      </c>
      <c r="AQ53" s="155">
        <f>SQRT(Inpatient!AQ13^2+Inpatient!AR13^2)</f>
        <v>5500.7239951266401</v>
      </c>
      <c r="AR53" s="161">
        <f>(Inpatient!$AG13-1)*Inpatient!$AQ13+(Inpatient!$AH13-1)*Inpatient!$AR13/(Inpatient!$AG13+Inpatient!$AH13-2)</f>
        <v>1182655.6589522276</v>
      </c>
      <c r="AS53" s="24">
        <f>ABS(AP53)/SQRT(Inpatient!AQ13^2/Inpatient!AE13+Inpatient!AR13^2/Inpatient!AF13)</f>
        <v>0.15545686336801637</v>
      </c>
      <c r="AT53" s="24">
        <f>(Inpatient!AQ13^2/Inpatient!$AG13+Inpatient!AR13^2/Inpatient!$AH13)/((Inpatient!AQ13^2/Inpatient!$AG13)/(Inpatient!$AG13-1)+(Inpatient!AR13^2/Inpatient!$AH13)/(Inpatient!$AH13-1))</f>
        <v>215</v>
      </c>
      <c r="AU53" s="24">
        <f t="shared" si="27"/>
        <v>1.9710591221336478</v>
      </c>
      <c r="AV53" s="179">
        <f t="shared" si="28"/>
        <v>0.87660701175477174</v>
      </c>
    </row>
    <row r="54" spans="1:48" ht="15.75" thickBot="1" x14ac:dyDescent="0.3">
      <c r="A54" s="262"/>
      <c r="B54" s="15" t="s">
        <v>14</v>
      </c>
      <c r="C54" s="20">
        <f>Inpatient!C14/IncidenceComplications!G11</f>
        <v>3.9237195173403086E-3</v>
      </c>
      <c r="D54" s="20"/>
      <c r="Q54" s="169">
        <f>Inpatient!S14-Inpatient!T14</f>
        <v>5</v>
      </c>
      <c r="R54" s="25">
        <f>Inpatient!U14-Inpatient!V14</f>
        <v>2.833333333333333</v>
      </c>
      <c r="S54" s="25">
        <f>SQRT(Inpatient!W14^2+Inpatient!X14^2)</f>
        <v>0</v>
      </c>
      <c r="T54" s="169">
        <f>(Inpatient!$S14-1)*Inpatient!$W14+(Inpatient!$T14-1)*Inpatient!$X14/(Inpatient!$S14+Inpatient!$T14-2)</f>
        <v>0</v>
      </c>
      <c r="U54" s="25" t="str">
        <f>IF(T54&gt;0,ABS(R54)/(SQRT((Inpatient!W14/Inpatient!$S14)+(Inpatient!X14/Inpatient!$T14))),"n.a.")</f>
        <v>n.a.</v>
      </c>
      <c r="V54" s="25" t="e">
        <f>(Inpatient!W14^2/Inpatient!Q14+Inpatient!X14^2/Inpatient!R14)/((Inpatient!W14^2/Inpatient!Q14)/(Inpatient!Q14-1)+(Inpatient!X14^2/Inpatient!R14)/(Inpatient!R14-1))</f>
        <v>#DIV/0!</v>
      </c>
      <c r="W54" s="25" t="e">
        <f t="shared" si="21"/>
        <v>#DIV/0!</v>
      </c>
      <c r="X54" s="25" t="e">
        <f t="shared" si="22"/>
        <v>#VALUE!</v>
      </c>
      <c r="Y54" s="169">
        <f>Inpatient!Y14-Inpatient!Z14</f>
        <v>-2079.7441369999997</v>
      </c>
      <c r="Z54" s="25">
        <f>Inpatient!AA14-Inpatient!AB14</f>
        <v>-35.20759483333336</v>
      </c>
      <c r="AA54" s="25">
        <f>SQRT(Inpatient!AC14^2+Inpatient!AD14^2)</f>
        <v>1161.4162052327199</v>
      </c>
      <c r="AB54" s="169">
        <f>(Inpatient!$S14-1)*Inpatient!$AC14+(Inpatient!$T14-1)*Inpatient!$AD14/(Inpatient!$S14+Inpatient!$T14-2)</f>
        <v>487.04550542017284</v>
      </c>
      <c r="AC54" s="25">
        <f>IF(AB54&gt;0,ABS(Z54)/(AB54*SQRT((1/Inpatient!$S14)+(1/Inpatient!$T14))),"n.a.")</f>
        <v>0.20523464108981304</v>
      </c>
      <c r="AD54" s="25">
        <f>(Inpatient!AC14^2/Inpatient!$S14+Inpatient!AD14^2/Inpatient!$T14)/((Inpatient!AC14^2/Inpatient!$S14)/(Inpatient!$S14-1)+(Inpatient!AD14^2/Inpatient!$T14)/(Inpatient!$T14-1))</f>
        <v>13</v>
      </c>
      <c r="AE54" s="25">
        <f t="shared" si="23"/>
        <v>2.1603686564627926</v>
      </c>
      <c r="AF54" s="25">
        <f t="shared" si="24"/>
        <v>0.84056752080524189</v>
      </c>
      <c r="AG54" s="169">
        <f>Inpatient!AG14-Inpatient!AH14</f>
        <v>611</v>
      </c>
      <c r="AH54" s="25">
        <f>Inpatient!AI14-Inpatient!AJ14</f>
        <v>2.8535353535353538</v>
      </c>
      <c r="AI54" s="25">
        <f>SQRT(Inpatient!AK14^2+Inpatient!AL14^2)</f>
        <v>5.2207795916870241</v>
      </c>
      <c r="AJ54" s="25">
        <f>(Inpatient!$AG14-1)*Inpatient!$AK14+(Inpatient!$AH14-1)*Inpatient!$AL14/(Inpatient!$AG14+Inpatient!$AH14-2)</f>
        <v>3173.1266100534099</v>
      </c>
      <c r="AK54" s="25">
        <f>ABS(AH54)/SQRT((Inpatient!AK14/Inpatient!$AG14)+(Inpatient!AL14/Inpatient!$AH14))</f>
        <v>12.38264359436644</v>
      </c>
      <c r="AL54" s="25">
        <f>(Inpatient!AK14^2/Inpatient!$AG14+Inpatient!AL14^2/Inpatient!$AH14)/((Inpatient!AK14^2/Inpatient!$AG14)/(Inpatient!$AG14-1)+(Inpatient!AL14^2/Inpatient!$AH14)/(Inpatient!$AH14-1))</f>
        <v>55.614520011520803</v>
      </c>
      <c r="AM54" s="25">
        <f t="shared" si="25"/>
        <v>2.0040447832891455</v>
      </c>
      <c r="AN54" s="25">
        <f t="shared" si="26"/>
        <v>1.5415626863059165E-17</v>
      </c>
      <c r="AO54" s="174">
        <f>Inpatient!AM14-Inpatient!AN14</f>
        <v>237000.44469999999</v>
      </c>
      <c r="AP54" s="156">
        <f>Inpatient!AO14-Inpatient!AP14</f>
        <v>261.80216541035361</v>
      </c>
      <c r="AQ54" s="156">
        <f>SQRT(Inpatient!AQ14^2+Inpatient!AR14^2)</f>
        <v>2247.5098659959922</v>
      </c>
      <c r="AR54" s="162">
        <f>(Inpatient!$AG14-1)*Inpatient!$AQ14+(Inpatient!$AH14-1)*Inpatient!$AR14/(Inpatient!$AG14+Inpatient!$AH14-2)</f>
        <v>1457298.0741677815</v>
      </c>
      <c r="AS54" s="25">
        <f>ABS(AP54)/SQRT(Inpatient!AQ14^2/Inpatient!AE14+Inpatient!AR14^2/Inpatient!AF14)</f>
        <v>1.0564011319199929</v>
      </c>
      <c r="AT54" s="25">
        <f>(Inpatient!AQ14^2/Inpatient!$AG14+Inpatient!AR14^2/Inpatient!$AH14)/((Inpatient!AQ14^2/Inpatient!$AG14)/(Inpatient!$AG14-1)+(Inpatient!AR14^2/Inpatient!$AH14)/(Inpatient!$AH14-1))</f>
        <v>238.41605194265784</v>
      </c>
      <c r="AU54" s="25">
        <f t="shared" si="27"/>
        <v>1.9699815295299372</v>
      </c>
      <c r="AV54" s="180">
        <f t="shared" si="28"/>
        <v>0.29185611190310634</v>
      </c>
    </row>
    <row r="55" spans="1:48" ht="15.75" thickTop="1" x14ac:dyDescent="0.25">
      <c r="A55" s="263">
        <v>2013</v>
      </c>
      <c r="B55" s="5" t="s">
        <v>0</v>
      </c>
      <c r="C55" s="18">
        <f>Inpatient!C15/IncidenceComplications!G12</f>
        <v>2.8150134048257374E-2</v>
      </c>
      <c r="D55" s="18"/>
      <c r="Q55" s="167">
        <f>Inpatient!S15-Inpatient!T15</f>
        <v>0</v>
      </c>
      <c r="R55" s="23">
        <f>Inpatient!U15-Inpatient!V15</f>
        <v>0</v>
      </c>
      <c r="S55" s="23">
        <f>SQRT(Inpatient!W15^2+Inpatient!X15^2)</f>
        <v>0</v>
      </c>
      <c r="T55" s="167">
        <f>(Inpatient!$S15-1)*Inpatient!$W15+(Inpatient!$T15-1)*Inpatient!$X15/(Inpatient!$S15+Inpatient!$T15-2)</f>
        <v>0</v>
      </c>
      <c r="U55" s="23" t="str">
        <f>IF(T55&gt;0,ABS(R55)/(SQRT((Inpatient!W15/Inpatient!$S15)+(Inpatient!X15/Inpatient!$T15))),"n.a.")</f>
        <v>n.a.</v>
      </c>
      <c r="V55" s="23" t="e">
        <f>(Inpatient!W15^2/Inpatient!Q15+Inpatient!X15^2/Inpatient!R15)/((Inpatient!W15^2/Inpatient!Q15)/(Inpatient!Q15-1)+(Inpatient!X15^2/Inpatient!R15)/(Inpatient!R15-1))</f>
        <v>#DIV/0!</v>
      </c>
      <c r="W55" s="23" t="e">
        <f t="shared" si="21"/>
        <v>#DIV/0!</v>
      </c>
      <c r="X55" s="23" t="e">
        <f t="shared" si="22"/>
        <v>#VALUE!</v>
      </c>
      <c r="Y55" s="167">
        <f>Inpatient!Y15-Inpatient!Z15</f>
        <v>0</v>
      </c>
      <c r="Z55" s="23" t="e">
        <f>Inpatient!AA15-Inpatient!AB15</f>
        <v>#VALUE!</v>
      </c>
      <c r="AA55" s="23">
        <f>SQRT(Inpatient!AC15^2+Inpatient!AD15^2)</f>
        <v>0</v>
      </c>
      <c r="AB55" s="167">
        <f>(Inpatient!$S15-1)*Inpatient!$AC15+(Inpatient!$T15-1)*Inpatient!$AD15/(Inpatient!$S15+Inpatient!$T15-2)</f>
        <v>0</v>
      </c>
      <c r="AC55" s="23" t="str">
        <f>IF(AB55&gt;0,ABS(Z55)/(AB55*SQRT((1/Inpatient!$S15)+(1/Inpatient!$T15))),"n.a.")</f>
        <v>n.a.</v>
      </c>
      <c r="AD55" s="23" t="e">
        <f>(Inpatient!AC15^2/Inpatient!$S15+Inpatient!AD15^2/Inpatient!$T15)/((Inpatient!AC15^2/Inpatient!$S15)/(Inpatient!$S15-1)+(Inpatient!AD15^2/Inpatient!$T15)/(Inpatient!$T15-1))</f>
        <v>#DIV/0!</v>
      </c>
      <c r="AE55" s="23" t="e">
        <f t="shared" si="23"/>
        <v>#DIV/0!</v>
      </c>
      <c r="AF55" s="23" t="e">
        <f t="shared" si="24"/>
        <v>#VALUE!</v>
      </c>
      <c r="AG55" s="167">
        <f>Inpatient!AG15-Inpatient!AH15</f>
        <v>173</v>
      </c>
      <c r="AH55" s="23">
        <f>Inpatient!AI15-Inpatient!AJ15</f>
        <v>7.375</v>
      </c>
      <c r="AI55" s="23">
        <f>SQRT(Inpatient!AK15^2+Inpatient!AL15^2)</f>
        <v>23.994791101403681</v>
      </c>
      <c r="AJ55" s="23">
        <f>(Inpatient!$AG15-1)*Inpatient!$AK15+(Inpatient!$AH15-1)*Inpatient!$AL15/(Inpatient!$AG15+Inpatient!$AH15-2)</f>
        <v>4712.787410195775</v>
      </c>
      <c r="AK55" s="23">
        <f>ABS(AH55)/SQRT((Inpatient!AK15/Inpatient!$AG15)+(Inpatient!AL15/Inpatient!$AH15))</f>
        <v>16.673318206759056</v>
      </c>
      <c r="AL55" s="23">
        <f>(Inpatient!AK15^2/Inpatient!$AG15+Inpatient!AL15^2/Inpatient!$AH15)/((Inpatient!AK15^2/Inpatient!$AG15)/(Inpatient!$AG15-1)+(Inpatient!AL15^2/Inpatient!$AH15)/(Inpatient!$AH15-1))</f>
        <v>147.78232900091913</v>
      </c>
      <c r="AM55" s="23">
        <f t="shared" si="25"/>
        <v>1.9762333088953288</v>
      </c>
      <c r="AN55" s="23">
        <f t="shared" si="26"/>
        <v>1.0458256224255655E-35</v>
      </c>
      <c r="AO55" s="172">
        <f>Inpatient!AM15-Inpatient!AN15</f>
        <v>191316.39326400001</v>
      </c>
      <c r="AP55" s="154">
        <f>Inpatient!AO15-Inpatient!AP15</f>
        <v>10064.00440845</v>
      </c>
      <c r="AQ55" s="154">
        <f>SQRT(Inpatient!AQ15^2+Inpatient!AR15^2)</f>
        <v>37767.371151433712</v>
      </c>
      <c r="AR55" s="160">
        <f>(Inpatient!$AG15-1)*Inpatient!$AQ15+(Inpatient!$AH15-1)*Inpatient!$AR15/(Inpatient!$AG15+Inpatient!$AH15-2)</f>
        <v>7439355.0825052727</v>
      </c>
      <c r="AS55" s="23">
        <f>ABS(AP55)/SQRT(Inpatient!AQ15^2/Inpatient!AE15+Inpatient!AR15^2/Inpatient!AF15)</f>
        <v>1.0656168202867042</v>
      </c>
      <c r="AT55" s="23">
        <f>(Inpatient!AQ15^2/Inpatient!$AG15+Inpatient!AR15^2/Inpatient!$AH15)/((Inpatient!AQ15^2/Inpatient!$AG15)/(Inpatient!$AG15-1)+(Inpatient!AR15^2/Inpatient!$AH15)/(Inpatient!$AH15-1))</f>
        <v>194.37903457529347</v>
      </c>
      <c r="AU55" s="23">
        <f t="shared" si="27"/>
        <v>1.9722675325821368</v>
      </c>
      <c r="AV55" s="178">
        <f t="shared" si="28"/>
        <v>0.28792131203659499</v>
      </c>
    </row>
    <row r="56" spans="1:48" x14ac:dyDescent="0.25">
      <c r="A56" s="261"/>
      <c r="B56" s="5" t="s">
        <v>1</v>
      </c>
      <c r="C56" s="18">
        <f>Inpatient!C16/IncidenceComplications!G13</f>
        <v>1.4697406340057636E-2</v>
      </c>
      <c r="D56" s="18"/>
      <c r="Q56" s="167">
        <f>Inpatient!S16-Inpatient!T16</f>
        <v>2</v>
      </c>
      <c r="R56" s="23">
        <f>Inpatient!U16-Inpatient!V16</f>
        <v>-1.5</v>
      </c>
      <c r="S56" s="23">
        <f>SQRT(Inpatient!W16^2+Inpatient!X16^2)</f>
        <v>2.1213203435596402</v>
      </c>
      <c r="T56" s="167">
        <f>(Inpatient!$S16-1)*Inpatient!$W16+(Inpatient!$T16-1)*Inpatient!$X16/(Inpatient!$S16+Inpatient!$T16-2)</f>
        <v>12.727922061357841</v>
      </c>
      <c r="U56" s="23">
        <f>IF(T56&gt;0,ABS(R56)/(SQRT((Inpatient!W16/Inpatient!$S16)+(Inpatient!X16/Inpatient!$T16))),"n.a.")</f>
        <v>2.7248158107400138</v>
      </c>
      <c r="V56" s="23" t="e">
        <f>(Inpatient!W16^2/Inpatient!Q16+Inpatient!X16^2/Inpatient!R16)/((Inpatient!W16^2/Inpatient!Q16)/(Inpatient!Q16-1)+(Inpatient!X16^2/Inpatient!R16)/(Inpatient!R16-1))</f>
        <v>#DIV/0!</v>
      </c>
      <c r="W56" s="23" t="e">
        <f t="shared" si="21"/>
        <v>#DIV/0!</v>
      </c>
      <c r="X56" s="23" t="e">
        <f t="shared" si="22"/>
        <v>#DIV/0!</v>
      </c>
      <c r="Y56" s="167">
        <f>Inpatient!Y16-Inpatient!Z16</f>
        <v>935.01728400000025</v>
      </c>
      <c r="Z56" s="23">
        <f>Inpatient!AA16-Inpatient!AB16</f>
        <v>-514.61686199999986</v>
      </c>
      <c r="AA56" s="23">
        <f>SQRT(Inpatient!AC16^2+Inpatient!AD16^2)</f>
        <v>147.51613303009901</v>
      </c>
      <c r="AB56" s="167">
        <f>(Inpatient!$S16-1)*Inpatient!$AC16+(Inpatient!$T16-1)*Inpatient!$AD16/(Inpatient!$S16+Inpatient!$T16-2)</f>
        <v>885.09679818059408</v>
      </c>
      <c r="AC56" s="23">
        <f>IF(AB56&gt;0,ABS(Z56)/(AB56*SQRT((1/Inpatient!$S16)+(1/Inpatient!$T16))),"n.a.")</f>
        <v>0.9929711754101036</v>
      </c>
      <c r="AD56" s="23">
        <f>(Inpatient!AC16^2/Inpatient!$S16+Inpatient!AD16^2/Inpatient!$T16)/((Inpatient!AC16^2/Inpatient!$S16)/(Inpatient!$S16-1)+(Inpatient!AD16^2/Inpatient!$T16)/(Inpatient!$T16-1))</f>
        <v>6</v>
      </c>
      <c r="AE56" s="23">
        <f t="shared" si="23"/>
        <v>2.4469118511449697</v>
      </c>
      <c r="AF56" s="23">
        <f t="shared" si="24"/>
        <v>0.35906557129398892</v>
      </c>
      <c r="AG56" s="167">
        <f>Inpatient!AG16-Inpatient!AH16</f>
        <v>180</v>
      </c>
      <c r="AH56" s="23">
        <f>Inpatient!AI16-Inpatient!AJ16</f>
        <v>0.7063492063492065</v>
      </c>
      <c r="AI56" s="23">
        <f>SQRT(Inpatient!AK16^2+Inpatient!AL16^2)</f>
        <v>4.3259228157135006</v>
      </c>
      <c r="AJ56" s="23">
        <f>(Inpatient!$AG16-1)*Inpatient!$AK16+(Inpatient!$AH16-1)*Inpatient!$AL16/(Inpatient!$AG16+Inpatient!$AH16-2)</f>
        <v>843.3948711625992</v>
      </c>
      <c r="AK56" s="23">
        <f>ABS(AH56)/SQRT((Inpatient!AK16/Inpatient!$AG16)+(Inpatient!AL16/Inpatient!$AH16))</f>
        <v>2.7434422595073418</v>
      </c>
      <c r="AL56" s="23">
        <f>(Inpatient!AK16^2/Inpatient!$AG16+Inpatient!AL16^2/Inpatient!$AH16)/((Inpatient!AK16^2/Inpatient!$AG16)/(Inpatient!$AG16-1)+(Inpatient!AL16^2/Inpatient!$AH16)/(Inpatient!$AH16-1))</f>
        <v>59.713302342568241</v>
      </c>
      <c r="AM56" s="23">
        <f t="shared" si="25"/>
        <v>2.0009953780882688</v>
      </c>
      <c r="AN56" s="23">
        <f t="shared" si="26"/>
        <v>8.0401192942067545E-3</v>
      </c>
      <c r="AO56" s="172">
        <f>Inpatient!AM16-Inpatient!AN16</f>
        <v>99291.862955999997</v>
      </c>
      <c r="AP56" s="154">
        <f>Inpatient!AO16-Inpatient!AP16</f>
        <v>428.34609714285716</v>
      </c>
      <c r="AQ56" s="154">
        <f>SQRT(Inpatient!AQ16^2+Inpatient!AR16^2)</f>
        <v>1416.8409080040276</v>
      </c>
      <c r="AR56" s="160">
        <f>(Inpatient!$AG16-1)*Inpatient!$AQ16+(Inpatient!$AH16-1)*Inpatient!$AR16/(Inpatient!$AG16+Inpatient!$AH16-2)</f>
        <v>310617.92827845988</v>
      </c>
      <c r="AS56" s="23">
        <f>ABS(AP56)/SQRT(Inpatient!AQ16^2/Inpatient!AE16+Inpatient!AR16^2/Inpatient!AF16)</f>
        <v>1.9343411606261069</v>
      </c>
      <c r="AT56" s="23">
        <f>(Inpatient!AQ16^2/Inpatient!$AG16+Inpatient!AR16^2/Inpatient!$AH16)/((Inpatient!AQ16^2/Inpatient!$AG16)/(Inpatient!$AG16-1)+(Inpatient!AR16^2/Inpatient!$AH16)/(Inpatient!$AH16-1))</f>
        <v>188.58889853156359</v>
      </c>
      <c r="AU56" s="23">
        <f t="shared" si="27"/>
        <v>1.9726626923813055</v>
      </c>
      <c r="AV56" s="178">
        <f t="shared" si="28"/>
        <v>5.4572383820223634E-2</v>
      </c>
    </row>
    <row r="57" spans="1:48" x14ac:dyDescent="0.25">
      <c r="A57" s="261"/>
      <c r="B57" s="5" t="s">
        <v>2</v>
      </c>
      <c r="C57" s="18">
        <f>Inpatient!C17/IncidenceComplications!G14</f>
        <v>9.9553724682457951E-3</v>
      </c>
      <c r="D57" s="18"/>
      <c r="Q57" s="167">
        <f>Inpatient!S17-Inpatient!T17</f>
        <v>4</v>
      </c>
      <c r="R57" s="23">
        <f>Inpatient!U17-Inpatient!V17</f>
        <v>4</v>
      </c>
      <c r="S57" s="23">
        <f>SQRT(Inpatient!W17^2+Inpatient!X17^2)</f>
        <v>0</v>
      </c>
      <c r="T57" s="167">
        <f>(Inpatient!$S17-1)*Inpatient!$W17+(Inpatient!$T17-1)*Inpatient!$X17/(Inpatient!$S17+Inpatient!$T17-2)</f>
        <v>0</v>
      </c>
      <c r="U57" s="23" t="str">
        <f>IF(T57&gt;0,ABS(R57)/(SQRT((Inpatient!W17/Inpatient!$S17)+(Inpatient!X17/Inpatient!$T17))),"n.a.")</f>
        <v>n.a.</v>
      </c>
      <c r="V57" s="23" t="e">
        <f>(Inpatient!W17^2/Inpatient!Q17+Inpatient!X17^2/Inpatient!R17)/((Inpatient!W17^2/Inpatient!Q17)/(Inpatient!Q17-1)+(Inpatient!X17^2/Inpatient!R17)/(Inpatient!R17-1))</f>
        <v>#DIV/0!</v>
      </c>
      <c r="W57" s="23" t="e">
        <f t="shared" si="21"/>
        <v>#DIV/0!</v>
      </c>
      <c r="X57" s="23" t="e">
        <f t="shared" si="22"/>
        <v>#VALUE!</v>
      </c>
      <c r="Y57" s="167">
        <f>Inpatient!Y17-Inpatient!Z17</f>
        <v>-1579.9832280000001</v>
      </c>
      <c r="Z57" s="23">
        <f>Inpatient!AA17-Inpatient!AB17</f>
        <v>-1579.9832280000001</v>
      </c>
      <c r="AA57" s="23">
        <f>SQRT(Inpatient!AC17^2+Inpatient!AD17^2)</f>
        <v>0</v>
      </c>
      <c r="AB57" s="167">
        <f>(Inpatient!$S17-1)*Inpatient!$AC17+(Inpatient!$T17-1)*Inpatient!$AD17/(Inpatient!$S17+Inpatient!$T17-2)</f>
        <v>0</v>
      </c>
      <c r="AC57" s="23" t="str">
        <f>IF(AB57&gt;0,ABS(Z57)/(AB57*SQRT((1/Inpatient!$S17)+(1/Inpatient!$T17))),"n.a.")</f>
        <v>n.a.</v>
      </c>
      <c r="AD57" s="23" t="e">
        <f>(Inpatient!AC17^2/Inpatient!$S17+Inpatient!AD17^2/Inpatient!$T17)/((Inpatient!AC17^2/Inpatient!$S17)/(Inpatient!$S17-1)+(Inpatient!AD17^2/Inpatient!$T17)/(Inpatient!$T17-1))</f>
        <v>#DIV/0!</v>
      </c>
      <c r="AE57" s="23" t="e">
        <f t="shared" si="23"/>
        <v>#DIV/0!</v>
      </c>
      <c r="AF57" s="23" t="e">
        <f t="shared" si="24"/>
        <v>#VALUE!</v>
      </c>
      <c r="AG57" s="167">
        <f>Inpatient!AG17-Inpatient!AH17</f>
        <v>35</v>
      </c>
      <c r="AH57" s="23">
        <f>Inpatient!AI17-Inpatient!AJ17</f>
        <v>1.4444444444444442</v>
      </c>
      <c r="AI57" s="23">
        <f>SQRT(Inpatient!AK17^2+Inpatient!AL17^2)</f>
        <v>3.0731814857642976</v>
      </c>
      <c r="AJ57" s="23">
        <f>(Inpatient!$AG17-1)*Inpatient!$AK17+(Inpatient!$AH17-1)*Inpatient!$AL17/(Inpatient!$AG17+Inpatient!$AH17-2)</f>
        <v>128.3700017321957</v>
      </c>
      <c r="AK57" s="23">
        <f>ABS(AH57)/SQRT((Inpatient!AK17/Inpatient!$AG17)+(Inpatient!AL17/Inpatient!$AH17))</f>
        <v>3.5358276646556677</v>
      </c>
      <c r="AL57" s="23">
        <f>(Inpatient!AK17^2/Inpatient!$AG17+Inpatient!AL17^2/Inpatient!$AH17)/((Inpatient!AK17^2/Inpatient!$AG17)/(Inpatient!$AG17-1)+(Inpatient!AL17^2/Inpatient!$AH17)/(Inpatient!$AH17-1))</f>
        <v>18.550349863097082</v>
      </c>
      <c r="AM57" s="23">
        <f t="shared" si="25"/>
        <v>2.1009220402410378</v>
      </c>
      <c r="AN57" s="23">
        <f t="shared" si="26"/>
        <v>2.3611465991991627E-3</v>
      </c>
      <c r="AO57" s="172">
        <f>Inpatient!AM17-Inpatient!AN17</f>
        <v>12445.334855999998</v>
      </c>
      <c r="AP57" s="154">
        <f>Inpatient!AO17-Inpatient!AP17</f>
        <v>-160.29322133333335</v>
      </c>
      <c r="AQ57" s="154">
        <f>SQRT(Inpatient!AQ17^2+Inpatient!AR17^2)</f>
        <v>908.70329111636522</v>
      </c>
      <c r="AR57" s="160">
        <f>(Inpatient!$AG17-1)*Inpatient!$AQ17+(Inpatient!$AH17-1)*Inpatient!$AR17/(Inpatient!$AG17+Inpatient!$AH17-2)</f>
        <v>40816.461359520094</v>
      </c>
      <c r="AS57" s="23">
        <f>ABS(AP57)/SQRT(Inpatient!AQ17^2/Inpatient!AE17+Inpatient!AR17^2/Inpatient!AF17)</f>
        <v>0.52698642903071835</v>
      </c>
      <c r="AT57" s="23">
        <f>(Inpatient!AQ17^2/Inpatient!$AG17+Inpatient!AR17^2/Inpatient!$AH17)/((Inpatient!AQ17^2/Inpatient!$AG17)/(Inpatient!$AG17-1)+(Inpatient!AR17^2/Inpatient!$AH17)/(Inpatient!$AH17-1))</f>
        <v>42.428369132946465</v>
      </c>
      <c r="AU57" s="23">
        <f t="shared" si="27"/>
        <v>2.0180817028184461</v>
      </c>
      <c r="AV57" s="178">
        <f t="shared" si="28"/>
        <v>0.60097560209010892</v>
      </c>
    </row>
    <row r="58" spans="1:48" x14ac:dyDescent="0.25">
      <c r="A58" s="261"/>
      <c r="B58" s="5" t="s">
        <v>3</v>
      </c>
      <c r="C58" s="18">
        <f>Inpatient!C18/IncidenceComplications!G15</f>
        <v>4.6590427784836937E-3</v>
      </c>
      <c r="D58" s="18"/>
      <c r="Q58" s="167">
        <f>Inpatient!S18-Inpatient!T18</f>
        <v>3</v>
      </c>
      <c r="R58" s="23">
        <f>Inpatient!U18-Inpatient!V18</f>
        <v>3</v>
      </c>
      <c r="S58" s="23">
        <f>SQRT(Inpatient!W18^2+Inpatient!X18^2)</f>
        <v>0</v>
      </c>
      <c r="T58" s="167">
        <f>(Inpatient!$S18-1)*Inpatient!$W18+(Inpatient!$T18-1)*Inpatient!$X18/(Inpatient!$S18+Inpatient!$T18-2)</f>
        <v>0</v>
      </c>
      <c r="U58" s="23" t="str">
        <f>IF(T58&gt;0,ABS(R58)/(SQRT((Inpatient!W18/Inpatient!$S18)+(Inpatient!X18/Inpatient!$T18))),"n.a.")</f>
        <v>n.a.</v>
      </c>
      <c r="V58" s="23" t="e">
        <f>(Inpatient!W18^2/Inpatient!Q18+Inpatient!X18^2/Inpatient!R18)/((Inpatient!W18^2/Inpatient!Q18)/(Inpatient!Q18-1)+(Inpatient!X18^2/Inpatient!R18)/(Inpatient!R18-1))</f>
        <v>#DIV/0!</v>
      </c>
      <c r="W58" s="23" t="e">
        <f t="shared" si="21"/>
        <v>#DIV/0!</v>
      </c>
      <c r="X58" s="23" t="e">
        <f t="shared" si="22"/>
        <v>#VALUE!</v>
      </c>
      <c r="Y58" s="167">
        <f>Inpatient!Y18-Inpatient!Z18</f>
        <v>1292.1868079999999</v>
      </c>
      <c r="Z58" s="23" t="e">
        <f>Inpatient!AA18-Inpatient!AB18</f>
        <v>#VALUE!</v>
      </c>
      <c r="AA58" s="23">
        <f>SQRT(Inpatient!AC18^2+Inpatient!AD18^2)</f>
        <v>0</v>
      </c>
      <c r="AB58" s="167">
        <f>(Inpatient!$S18-1)*Inpatient!$AC18+(Inpatient!$T18-1)*Inpatient!$AD18/(Inpatient!$S18+Inpatient!$T18-2)</f>
        <v>0</v>
      </c>
      <c r="AC58" s="23" t="str">
        <f>IF(AB58&gt;0,ABS(Z58)/(AB58*SQRT((1/Inpatient!$S18)+(1/Inpatient!$T18))),"n.a.")</f>
        <v>n.a.</v>
      </c>
      <c r="AD58" s="23" t="e">
        <f>(Inpatient!AC18^2/Inpatient!$S18+Inpatient!AD18^2/Inpatient!$T18)/((Inpatient!AC18^2/Inpatient!$S18)/(Inpatient!$S18-1)+(Inpatient!AD18^2/Inpatient!$T18)/(Inpatient!$T18-1))</f>
        <v>#DIV/0!</v>
      </c>
      <c r="AE58" s="23" t="e">
        <f t="shared" si="23"/>
        <v>#DIV/0!</v>
      </c>
      <c r="AF58" s="23" t="e">
        <f t="shared" si="24"/>
        <v>#VALUE!</v>
      </c>
      <c r="AG58" s="167">
        <f>Inpatient!AG18-Inpatient!AH18</f>
        <v>23</v>
      </c>
      <c r="AH58" s="23">
        <f>Inpatient!AI18-Inpatient!AJ18</f>
        <v>4.5999999999999996</v>
      </c>
      <c r="AI58" s="23">
        <f>SQRT(Inpatient!AK18^2+Inpatient!AL18^2)</f>
        <v>1.51657508881031</v>
      </c>
      <c r="AJ58" s="23">
        <f>(Inpatient!$AG18-1)*Inpatient!$AK18+(Inpatient!$AH18-1)*Inpatient!$AL18/(Inpatient!$AG18+Inpatient!$AH18-2)</f>
        <v>33.364651953826822</v>
      </c>
      <c r="AK58" s="23" t="e">
        <f>ABS(AH58)/SQRT((Inpatient!AK18/Inpatient!$AG18)+(Inpatient!AL18/Inpatient!$AH18))</f>
        <v>#DIV/0!</v>
      </c>
      <c r="AL58" s="23" t="e">
        <f>(Inpatient!AK18^2/Inpatient!$AG18+Inpatient!AL18^2/Inpatient!$AH18)/((Inpatient!AK18^2/Inpatient!$AG18)/(Inpatient!$AG18-1)+(Inpatient!AL18^2/Inpatient!$AH18)/(Inpatient!$AH18-1))</f>
        <v>#DIV/0!</v>
      </c>
      <c r="AM58" s="23" t="e">
        <f t="shared" si="25"/>
        <v>#DIV/0!</v>
      </c>
      <c r="AN58" s="23" t="e">
        <f t="shared" si="26"/>
        <v>#DIV/0!</v>
      </c>
      <c r="AO58" s="172">
        <f>Inpatient!AM18-Inpatient!AN18</f>
        <v>12883.289339999999</v>
      </c>
      <c r="AP58" s="154" t="e">
        <f>Inpatient!AO18-Inpatient!AP18</f>
        <v>#VALUE!</v>
      </c>
      <c r="AQ58" s="154">
        <f>SQRT(Inpatient!AQ18^2+Inpatient!AR18^2)</f>
        <v>746.65948246165897</v>
      </c>
      <c r="AR58" s="160">
        <f>(Inpatient!$AG18-1)*Inpatient!$AQ18+(Inpatient!$AH18-1)*Inpatient!$AR18/(Inpatient!$AG18+Inpatient!$AH18-2)</f>
        <v>16426.508614156497</v>
      </c>
      <c r="AS58" s="23" t="e">
        <f>ABS(AP58)/SQRT(Inpatient!AQ18^2/Inpatient!AE18+Inpatient!AR18^2/Inpatient!AF18)</f>
        <v>#VALUE!</v>
      </c>
      <c r="AT58" s="23" t="e">
        <f>(Inpatient!AQ18^2/Inpatient!$AG18+Inpatient!AR18^2/Inpatient!$AH18)/((Inpatient!AQ18^2/Inpatient!$AG18)/(Inpatient!$AG18-1)+(Inpatient!AR18^2/Inpatient!$AH18)/(Inpatient!$AH18-1))</f>
        <v>#DIV/0!</v>
      </c>
      <c r="AU58" s="23" t="e">
        <f t="shared" si="27"/>
        <v>#DIV/0!</v>
      </c>
      <c r="AV58" s="178" t="e">
        <f t="shared" si="28"/>
        <v>#VALUE!</v>
      </c>
    </row>
    <row r="59" spans="1:48" x14ac:dyDescent="0.25">
      <c r="A59" s="261"/>
      <c r="B59" s="5" t="s">
        <v>4</v>
      </c>
      <c r="C59" s="18">
        <f>Inpatient!C19/IncidenceComplications!G16</f>
        <v>3.2151620272442677E-3</v>
      </c>
      <c r="D59" s="18"/>
      <c r="Q59" s="167">
        <f>Inpatient!S19-Inpatient!T19</f>
        <v>6</v>
      </c>
      <c r="R59" s="23">
        <f>Inpatient!U19-Inpatient!V19</f>
        <v>0.66666666666666652</v>
      </c>
      <c r="S59" s="23">
        <f>SQRT(Inpatient!W19^2+Inpatient!X19^2)</f>
        <v>1.1547005383792499</v>
      </c>
      <c r="T59" s="167">
        <f>(Inpatient!$S19-1)*Inpatient!$W19+(Inpatient!$T19-1)*Inpatient!$X19/(Inpatient!$S19+Inpatient!$T19-2)</f>
        <v>8.0829037686547487</v>
      </c>
      <c r="U59" s="23">
        <f>IF(T59&gt;0,ABS(R59)/(SQRT((Inpatient!W19/Inpatient!$S19)+(Inpatient!X19/Inpatient!$T19))),"n.a.")</f>
        <v>1.7547653506033243</v>
      </c>
      <c r="V59" s="23" t="e">
        <f>(Inpatient!W19^2/Inpatient!Q19+Inpatient!X19^2/Inpatient!R19)/((Inpatient!W19^2/Inpatient!Q19)/(Inpatient!Q19-1)+(Inpatient!X19^2/Inpatient!R19)/(Inpatient!R19-1))</f>
        <v>#DIV/0!</v>
      </c>
      <c r="W59" s="23" t="e">
        <f t="shared" si="21"/>
        <v>#DIV/0!</v>
      </c>
      <c r="X59" s="23" t="e">
        <f t="shared" si="22"/>
        <v>#DIV/0!</v>
      </c>
      <c r="Y59" s="167">
        <f>Inpatient!Y19-Inpatient!Z19</f>
        <v>2302.783128</v>
      </c>
      <c r="Z59" s="23">
        <f>Inpatient!AA19-Inpatient!AB19</f>
        <v>-557.52080000000001</v>
      </c>
      <c r="AA59" s="23">
        <f>SQRT(Inpatient!AC19^2+Inpatient!AD19^2)</f>
        <v>308.88840196524802</v>
      </c>
      <c r="AB59" s="167">
        <f>(Inpatient!$S19-1)*Inpatient!$AC19+(Inpatient!$T19-1)*Inpatient!$AD19/(Inpatient!$S19+Inpatient!$T19-2)</f>
        <v>2162.2188137567364</v>
      </c>
      <c r="AC59" s="23">
        <f>IF(AB59&gt;0,ABS(Z59)/(AB59*SQRT((1/Inpatient!$S19)+(1/Inpatient!$T19))),"n.a.")</f>
        <v>0.326153034966156</v>
      </c>
      <c r="AD59" s="23">
        <f>(Inpatient!AC19^2/Inpatient!$S19+Inpatient!AD19^2/Inpatient!$T19)/((Inpatient!AC19^2/Inpatient!$S19)/(Inpatient!$S19-1)+(Inpatient!AD19^2/Inpatient!$T19)/(Inpatient!$T19-1))</f>
        <v>7</v>
      </c>
      <c r="AE59" s="23">
        <f t="shared" si="23"/>
        <v>2.3646242515927849</v>
      </c>
      <c r="AF59" s="23">
        <f t="shared" si="24"/>
        <v>0.75384267265313587</v>
      </c>
      <c r="AG59" s="167">
        <f>Inpatient!AG19-Inpatient!AH19</f>
        <v>74</v>
      </c>
      <c r="AH59" s="23">
        <f>Inpatient!AI19-Inpatient!AJ19</f>
        <v>3.916666666666667</v>
      </c>
      <c r="AI59" s="23">
        <f>SQRT(Inpatient!AK19^2+Inpatient!AL19^2)</f>
        <v>5.7675949506836481</v>
      </c>
      <c r="AJ59" s="23">
        <f>(Inpatient!$AG19-1)*Inpatient!$AK19+(Inpatient!$AH19-1)*Inpatient!$AL19/(Inpatient!$AG19+Inpatient!$AH19-2)</f>
        <v>404.1959659108274</v>
      </c>
      <c r="AK59" s="23">
        <f>ABS(AH59)/SQRT((Inpatient!AK19/Inpatient!$AG19)+(Inpatient!AL19/Inpatient!$AH19))</f>
        <v>6.2502290057188095</v>
      </c>
      <c r="AL59" s="23">
        <f>(Inpatient!AK19^2/Inpatient!$AG19+Inpatient!AL19^2/Inpatient!$AH19)/((Inpatient!AK19^2/Inpatient!$AG19)/(Inpatient!$AG19-1)+(Inpatient!AL19^2/Inpatient!$AH19)/(Inpatient!$AH19-1))</f>
        <v>10.052102993887551</v>
      </c>
      <c r="AM59" s="23">
        <f t="shared" si="25"/>
        <v>2.2281388519862744</v>
      </c>
      <c r="AN59" s="23">
        <f t="shared" si="26"/>
        <v>9.5024095755289945E-5</v>
      </c>
      <c r="AO59" s="172">
        <f>Inpatient!AM19-Inpatient!AN19</f>
        <v>27997.959276000001</v>
      </c>
      <c r="AP59" s="154">
        <f>Inpatient!AO19-Inpatient!AP19</f>
        <v>1050.3588929999999</v>
      </c>
      <c r="AQ59" s="154">
        <f>SQRT(Inpatient!AQ19^2+Inpatient!AR19^2)</f>
        <v>2156.1311081144304</v>
      </c>
      <c r="AR59" s="160">
        <f>(Inpatient!$AG19-1)*Inpatient!$AQ19+(Inpatient!$AH19-1)*Inpatient!$AR19/(Inpatient!$AG19+Inpatient!$AH19-2)</f>
        <v>162238.76844937343</v>
      </c>
      <c r="AS59" s="23">
        <f>ABS(AP59)/SQRT(Inpatient!AQ19^2/Inpatient!AE19+Inpatient!AR19^2/Inpatient!AF19)</f>
        <v>1.388899619891111</v>
      </c>
      <c r="AT59" s="23">
        <f>(Inpatient!AQ19^2/Inpatient!$AG19+Inpatient!AR19^2/Inpatient!$AH19)/((Inpatient!AQ19^2/Inpatient!$AG19)/(Inpatient!$AG19-1)+(Inpatient!AR19^2/Inpatient!$AH19)/(Inpatient!$AH19-1))</f>
        <v>11.928064559389211</v>
      </c>
      <c r="AU59" s="23">
        <f t="shared" si="27"/>
        <v>2.2009851600916384</v>
      </c>
      <c r="AV59" s="178">
        <f t="shared" si="28"/>
        <v>0.19234092639394376</v>
      </c>
    </row>
    <row r="60" spans="1:48" x14ac:dyDescent="0.25">
      <c r="A60" s="261"/>
      <c r="B60" s="5" t="s">
        <v>5</v>
      </c>
      <c r="C60" s="18">
        <f>Inpatient!C20/IncidenceComplications!G17</f>
        <v>3.4021754755857972E-3</v>
      </c>
      <c r="D60" s="18"/>
      <c r="Q60" s="167">
        <f>Inpatient!S20-Inpatient!T20</f>
        <v>-1</v>
      </c>
      <c r="R60" s="23">
        <f>Inpatient!U20-Inpatient!V20</f>
        <v>-1.5</v>
      </c>
      <c r="S60" s="23">
        <f>SQRT(Inpatient!W20^2+Inpatient!X20^2)</f>
        <v>3.16227766016838</v>
      </c>
      <c r="T60" s="167">
        <f>(Inpatient!$S20-1)*Inpatient!$W20+(Inpatient!$T20-1)*Inpatient!$X20/(Inpatient!$S20+Inpatient!$T20-2)</f>
        <v>35.292867462579082</v>
      </c>
      <c r="U60" s="23">
        <f>IF(T60&gt;0,ABS(R60)/(SQRT((Inpatient!W20/Inpatient!$S20)+(Inpatient!X20/Inpatient!$T20))),"n.a.")</f>
        <v>2.7185143905250069</v>
      </c>
      <c r="V60" s="23">
        <f>(Inpatient!W20^2/Inpatient!Q20+Inpatient!X20^2/Inpatient!R20)/((Inpatient!W20^2/Inpatient!Q20)/(Inpatient!Q20-1)+(Inpatient!X20^2/Inpatient!R20)/(Inpatient!R20-1))</f>
        <v>2.5384615384615374</v>
      </c>
      <c r="W60" s="23">
        <f t="shared" si="21"/>
        <v>4.3026527297494637</v>
      </c>
      <c r="X60" s="23">
        <f t="shared" si="22"/>
        <v>0.11286149662449918</v>
      </c>
      <c r="Y60" s="167">
        <f>Inpatient!Y20-Inpatient!Z20</f>
        <v>-1081.5870839999998</v>
      </c>
      <c r="Z60" s="23">
        <f>Inpatient!AA20-Inpatient!AB20</f>
        <v>-800.60199299999977</v>
      </c>
      <c r="AA60" s="23">
        <f>SQRT(Inpatient!AC20^2+Inpatient!AD20^2)</f>
        <v>1166.8593734837448</v>
      </c>
      <c r="AB60" s="167">
        <f>(Inpatient!$S20-1)*Inpatient!$AC20+(Inpatient!$T20-1)*Inpatient!$AD20/(Inpatient!$S20+Inpatient!$T20-2)</f>
        <v>11539.10407058248</v>
      </c>
      <c r="AC60" s="23">
        <f>IF(AB60&gt;0,ABS(Z60)/(AB60*SQRT((1/Inpatient!$S20)+(1/Inpatient!$T20))),"n.a.")</f>
        <v>0.18670468894624348</v>
      </c>
      <c r="AD60" s="23">
        <f>(Inpatient!AC20^2/Inpatient!$S20+Inpatient!AD20^2/Inpatient!$T20)/((Inpatient!AC20^2/Inpatient!$S20)/(Inpatient!$S20-1)+(Inpatient!AD20^2/Inpatient!$T20)/(Inpatient!$T20-1))</f>
        <v>13.426534659254573</v>
      </c>
      <c r="AE60" s="23">
        <f t="shared" si="23"/>
        <v>2.1603686564627926</v>
      </c>
      <c r="AF60" s="23">
        <f t="shared" si="24"/>
        <v>0.85477433723667118</v>
      </c>
      <c r="AG60" s="167">
        <f>Inpatient!AG20-Inpatient!AH20</f>
        <v>351</v>
      </c>
      <c r="AH60" s="23">
        <f>Inpatient!AI20-Inpatient!AJ20</f>
        <v>2.0182926829268286</v>
      </c>
      <c r="AI60" s="23">
        <f>SQRT(Inpatient!AK20^2+Inpatient!AL20^2)</f>
        <v>9.2259355178139959</v>
      </c>
      <c r="AJ60" s="23">
        <f>(Inpatient!$AG20-1)*Inpatient!$AK20+(Inpatient!$AH20-1)*Inpatient!$AL20/(Inpatient!$AG20+Inpatient!$AH20-2)</f>
        <v>3436.3167542052734</v>
      </c>
      <c r="AK60" s="23">
        <f>ABS(AH60)/SQRT((Inpatient!AK20/Inpatient!$AG20)+(Inpatient!AL20/Inpatient!$AH20))</f>
        <v>7.0161832668990076</v>
      </c>
      <c r="AL60" s="23">
        <f>(Inpatient!AK20^2/Inpatient!$AG20+Inpatient!AL20^2/Inpatient!$AH20)/((Inpatient!AK20^2/Inpatient!$AG20)/(Inpatient!$AG20-1)+(Inpatient!AL20^2/Inpatient!$AH20)/(Inpatient!$AH20-1))</f>
        <v>76.126660885269416</v>
      </c>
      <c r="AM60" s="23">
        <f t="shared" si="25"/>
        <v>1.991672609644662</v>
      </c>
      <c r="AN60" s="23">
        <f t="shared" si="26"/>
        <v>8.1856140510718024E-10</v>
      </c>
      <c r="AO60" s="172">
        <f>Inpatient!AM20-Inpatient!AN20</f>
        <v>118209.03389999999</v>
      </c>
      <c r="AP60" s="154">
        <f>Inpatient!AO20-Inpatient!AP20</f>
        <v>252.40356153658513</v>
      </c>
      <c r="AQ60" s="154">
        <f>SQRT(Inpatient!AQ20^2+Inpatient!AR20^2)</f>
        <v>3427.3624127221487</v>
      </c>
      <c r="AR60" s="160">
        <f>(Inpatient!$AG20-1)*Inpatient!$AQ20+(Inpatient!$AH20-1)*Inpatient!$AR20/(Inpatient!$AG20+Inpatient!$AH20-2)</f>
        <v>1262899.6655286129</v>
      </c>
      <c r="AS60" s="23">
        <f>ABS(AP60)/SQRT(Inpatient!AQ20^2/Inpatient!AE20+Inpatient!AR20^2/Inpatient!AF20)</f>
        <v>0.3840784747676167</v>
      </c>
      <c r="AT60" s="23">
        <f>(Inpatient!AQ20^2/Inpatient!$AG20+Inpatient!AR20^2/Inpatient!$AH20)/((Inpatient!AQ20^2/Inpatient!$AG20)/(Inpatient!$AG20-1)+(Inpatient!AR20^2/Inpatient!$AH20)/(Inpatient!$AH20-1))</f>
        <v>59.081747478002569</v>
      </c>
      <c r="AU60" s="23">
        <f t="shared" si="27"/>
        <v>2.0009953780882688</v>
      </c>
      <c r="AV60" s="178">
        <f t="shared" si="28"/>
        <v>0.70230104595126441</v>
      </c>
    </row>
    <row r="61" spans="1:48" x14ac:dyDescent="0.25">
      <c r="A61" s="261"/>
      <c r="B61" s="6" t="s">
        <v>6</v>
      </c>
      <c r="C61" s="19">
        <f>Inpatient!C21/IncidenceComplications!G18</f>
        <v>1.1537555921827172E-2</v>
      </c>
      <c r="D61" s="19"/>
      <c r="Q61" s="168">
        <f>Inpatient!S21-Inpatient!T21</f>
        <v>0</v>
      </c>
      <c r="R61" s="24">
        <f>Inpatient!U21-Inpatient!V21</f>
        <v>0</v>
      </c>
      <c r="S61" s="24">
        <f>SQRT(Inpatient!W21^2+Inpatient!X21^2)</f>
        <v>0</v>
      </c>
      <c r="T61" s="168">
        <f>(Inpatient!$S21-1)*Inpatient!$W21+(Inpatient!$T21-1)*Inpatient!$X21/(Inpatient!$S21+Inpatient!$T21-2)</f>
        <v>0</v>
      </c>
      <c r="U61" s="24" t="str">
        <f>IF(T61&gt;0,ABS(R61)/(SQRT((Inpatient!W21/Inpatient!$S21)+(Inpatient!X21/Inpatient!$T21))),"n.a.")</f>
        <v>n.a.</v>
      </c>
      <c r="V61" s="24" t="e">
        <f>(Inpatient!W21^2/Inpatient!Q21+Inpatient!X21^2/Inpatient!R21)/((Inpatient!W21^2/Inpatient!Q21)/(Inpatient!Q21-1)+(Inpatient!X21^2/Inpatient!R21)/(Inpatient!R21-1))</f>
        <v>#DIV/0!</v>
      </c>
      <c r="W61" s="24" t="e">
        <f t="shared" si="21"/>
        <v>#DIV/0!</v>
      </c>
      <c r="X61" s="24" t="e">
        <f t="shared" si="22"/>
        <v>#VALUE!</v>
      </c>
      <c r="Y61" s="168">
        <f>Inpatient!Y21-Inpatient!Z21</f>
        <v>0</v>
      </c>
      <c r="Z61" s="24" t="e">
        <f>Inpatient!AA21-Inpatient!AB21</f>
        <v>#VALUE!</v>
      </c>
      <c r="AA61" s="24">
        <f>SQRT(Inpatient!AC21^2+Inpatient!AD21^2)</f>
        <v>0</v>
      </c>
      <c r="AB61" s="168">
        <f>(Inpatient!$S21-1)*Inpatient!$AC21+(Inpatient!$T21-1)*Inpatient!$AD21/(Inpatient!$S21+Inpatient!$T21-2)</f>
        <v>0</v>
      </c>
      <c r="AC61" s="24" t="str">
        <f>IF(AB61&gt;0,ABS(Z61)/(AB61*SQRT((1/Inpatient!$S21)+(1/Inpatient!$T21))),"n.a.")</f>
        <v>n.a.</v>
      </c>
      <c r="AD61" s="24" t="e">
        <f>(Inpatient!AC21^2/Inpatient!$S21+Inpatient!AD21^2/Inpatient!$T21)/((Inpatient!AC21^2/Inpatient!$S21)/(Inpatient!$S21-1)+(Inpatient!AD21^2/Inpatient!$T21)/(Inpatient!$T21-1))</f>
        <v>#DIV/0!</v>
      </c>
      <c r="AE61" s="24" t="e">
        <f t="shared" si="23"/>
        <v>#DIV/0!</v>
      </c>
      <c r="AF61" s="24" t="e">
        <f t="shared" si="24"/>
        <v>#VALUE!</v>
      </c>
      <c r="AG61" s="168">
        <f>Inpatient!AG21-Inpatient!AH21</f>
        <v>512</v>
      </c>
      <c r="AH61" s="24">
        <f>Inpatient!AI21-Inpatient!AJ21</f>
        <v>3.58</v>
      </c>
      <c r="AI61" s="24">
        <f>SQRT(Inpatient!AK21^2+Inpatient!AL21^2)</f>
        <v>7.8294055864244694</v>
      </c>
      <c r="AJ61" s="24">
        <f>(Inpatient!$AG21-1)*Inpatient!$AK21+(Inpatient!$AH21-1)*Inpatient!$AL21/(Inpatient!$AG21+Inpatient!$AH21-2)</f>
        <v>3757.1155161852184</v>
      </c>
      <c r="AK61" s="24">
        <f>ABS(AH61)/SQRT((Inpatient!AK21/Inpatient!$AG21)+(Inpatient!AL21/Inpatient!$AH21))</f>
        <v>10.57105095548234</v>
      </c>
      <c r="AL61" s="24">
        <f>(Inpatient!AK21^2/Inpatient!$AG21+Inpatient!AL21^2/Inpatient!$AH21)/((Inpatient!AK21^2/Inpatient!$AG21)/(Inpatient!$AG21-1)+(Inpatient!AL21^2/Inpatient!$AH21)/(Inpatient!$AH21-1))</f>
        <v>43.343535715614003</v>
      </c>
      <c r="AM61" s="24">
        <f t="shared" si="25"/>
        <v>2.0166921992278248</v>
      </c>
      <c r="AN61" s="24">
        <f t="shared" si="26"/>
        <v>1.5574698867177123E-13</v>
      </c>
      <c r="AO61" s="173">
        <f>Inpatient!AM21-Inpatient!AN21</f>
        <v>181239.69500400001</v>
      </c>
      <c r="AP61" s="155">
        <f>Inpatient!AO21-Inpatient!AP21</f>
        <v>1420.0903802400003</v>
      </c>
      <c r="AQ61" s="155">
        <f>SQRT(Inpatient!AQ21^2+Inpatient!AR21^2)</f>
        <v>5398.6360402264327</v>
      </c>
      <c r="AR61" s="161">
        <f>(Inpatient!$AG21-1)*Inpatient!$AQ21+(Inpatient!$AH21-1)*Inpatient!$AR21/(Inpatient!$AG21+Inpatient!$AH21-2)</f>
        <v>2942218.4305939837</v>
      </c>
      <c r="AS61" s="24">
        <f>ABS(AP61)/SQRT(Inpatient!AQ21^2/Inpatient!AE21+Inpatient!AR21^2/Inpatient!AF21)</f>
        <v>1.7744954943383642</v>
      </c>
      <c r="AT61" s="24">
        <f>(Inpatient!AQ21^2/Inpatient!$AG21+Inpatient!AR21^2/Inpatient!$AH21)/((Inpatient!AQ21^2/Inpatient!$AG21)/(Inpatient!$AG21-1)+(Inpatient!AR21^2/Inpatient!$AH21)/(Inpatient!$AH21-1))</f>
        <v>182.08656013855705</v>
      </c>
      <c r="AU61" s="24">
        <f t="shared" si="27"/>
        <v>1.9730840773359002</v>
      </c>
      <c r="AV61" s="179">
        <f t="shared" si="28"/>
        <v>7.7652976734566045E-2</v>
      </c>
    </row>
    <row r="62" spans="1:48" ht="15.75" thickBot="1" x14ac:dyDescent="0.3">
      <c r="A62" s="262"/>
      <c r="B62" s="15" t="s">
        <v>14</v>
      </c>
      <c r="C62" s="20">
        <f>Inpatient!C22/IncidenceComplications!G19</f>
        <v>5.759849137047514E-3</v>
      </c>
      <c r="D62" s="20"/>
      <c r="Q62" s="169">
        <f>Inpatient!S22-Inpatient!T22</f>
        <v>14</v>
      </c>
      <c r="R62" s="25">
        <f>Inpatient!U22-Inpatient!V22</f>
        <v>-0.62121212121212155</v>
      </c>
      <c r="S62" s="25">
        <f>SQRT(Inpatient!W22^2+Inpatient!X22^2)</f>
        <v>2.697735676039775</v>
      </c>
      <c r="T62" s="169">
        <f>(Inpatient!$S22-1)*Inpatient!$W22+(Inpatient!$T22-1)*Inpatient!$X22/(Inpatient!$S22+Inpatient!$T22-2)</f>
        <v>79.265071038291282</v>
      </c>
      <c r="U62" s="25">
        <f>IF(T62&gt;0,ABS(R62)/(SQRT((Inpatient!W22/Inpatient!$S22)+(Inpatient!X22/Inpatient!$T22))),"n.a.")</f>
        <v>1.7762347850695095</v>
      </c>
      <c r="V62" s="25">
        <f>(Inpatient!W22^2/Inpatient!Q22+Inpatient!X22^2/Inpatient!R22)/((Inpatient!W22^2/Inpatient!Q22)/(Inpatient!Q22-1)+(Inpatient!X22^2/Inpatient!R22)/(Inpatient!R22-1))</f>
        <v>6.3999999999999941</v>
      </c>
      <c r="W62" s="25">
        <f t="shared" si="21"/>
        <v>2.4469118511449697</v>
      </c>
      <c r="X62" s="25">
        <f t="shared" si="22"/>
        <v>0.12603177682210445</v>
      </c>
      <c r="Y62" s="169">
        <f>Inpatient!Y22-Inpatient!Z22</f>
        <v>1868.4169080000011</v>
      </c>
      <c r="Z62" s="25">
        <f>Inpatient!AA22-Inpatient!AB22</f>
        <v>-844.74873654545422</v>
      </c>
      <c r="AA62" s="25">
        <f>SQRT(Inpatient!AC22^2+Inpatient!AD22^2)</f>
        <v>955.05734460994256</v>
      </c>
      <c r="AB62" s="169">
        <f>(Inpatient!$S22-1)*Inpatient!$AC22+(Inpatient!$T22-1)*Inpatient!$AD22/(Inpatient!$S22+Inpatient!$T22-2)</f>
        <v>20532.806904004698</v>
      </c>
      <c r="AC62" s="25">
        <f>IF(AB62&gt;0,ABS(Z62)/(AB62*SQRT((1/Inpatient!$S22)+(1/Inpatient!$T22))),"n.a.")</f>
        <v>0.16058003520718769</v>
      </c>
      <c r="AD62" s="25">
        <f>(Inpatient!AC22^2/Inpatient!$S22+Inpatient!AD22^2/Inpatient!$T22)/((Inpatient!AC22^2/Inpatient!$S22)/(Inpatient!$S22-1)+(Inpatient!AD22^2/Inpatient!$T22)/(Inpatient!$T22-1))</f>
        <v>26.159623293963094</v>
      </c>
      <c r="AE62" s="25">
        <f t="shared" si="23"/>
        <v>2.0555294386428731</v>
      </c>
      <c r="AF62" s="25">
        <f t="shared" si="24"/>
        <v>0.87366533748281516</v>
      </c>
      <c r="AG62" s="169">
        <f>Inpatient!AG22-Inpatient!AH22</f>
        <v>1348</v>
      </c>
      <c r="AH62" s="25">
        <f>Inpatient!AI22-Inpatient!AJ22</f>
        <v>3.3300492610837438</v>
      </c>
      <c r="AI62" s="25">
        <f>SQRT(Inpatient!AK22^2+Inpatient!AL22^2)</f>
        <v>10.635096738622421</v>
      </c>
      <c r="AJ62" s="25">
        <f>(Inpatient!$AG22-1)*Inpatient!$AK22+(Inpatient!$AH22-1)*Inpatient!$AL22/(Inpatient!$AG22+Inpatient!$AH22-2)</f>
        <v>15524.751850505683</v>
      </c>
      <c r="AK62" s="25">
        <f>ABS(AH62)/SQRT((Inpatient!AK22/Inpatient!$AG22)+(Inpatient!AL22/Inpatient!$AH22))</f>
        <v>22.048130158475466</v>
      </c>
      <c r="AL62" s="25">
        <f>(Inpatient!AK22^2/Inpatient!$AG22+Inpatient!AL22^2/Inpatient!$AH22)/((Inpatient!AK22^2/Inpatient!$AG22)/(Inpatient!$AG22-1)+(Inpatient!AL22^2/Inpatient!$AH22)/(Inpatient!$AH22-1))</f>
        <v>363.62727219684984</v>
      </c>
      <c r="AM62" s="25">
        <f t="shared" si="25"/>
        <v>1.9665206405684128</v>
      </c>
      <c r="AN62" s="25">
        <f t="shared" si="26"/>
        <v>5.7158201784447873E-69</v>
      </c>
      <c r="AO62" s="174">
        <f>Inpatient!AM22-Inpatient!AN22</f>
        <v>643383.56859600008</v>
      </c>
      <c r="AP62" s="156">
        <f>Inpatient!AO22-Inpatient!AP22</f>
        <v>1607.262619419902</v>
      </c>
      <c r="AQ62" s="156">
        <f>SQRT(Inpatient!AQ22^2+Inpatient!AR22^2)</f>
        <v>14519.193421048429</v>
      </c>
      <c r="AR62" s="162">
        <f>(Inpatient!$AG22-1)*Inpatient!$AQ22+(Inpatient!$AH22-1)*Inpatient!$AR22/(Inpatient!$AG22+Inpatient!$AH22-2)</f>
        <v>21746618.758196399</v>
      </c>
      <c r="AS62" s="25">
        <f>ABS(AP62)/SQRT(Inpatient!AQ22^2/Inpatient!AE22+Inpatient!AR22^2/Inpatient!AF22)</f>
        <v>1.4584535843176285</v>
      </c>
      <c r="AT62" s="25">
        <f>(Inpatient!AQ22^2/Inpatient!$AG22+Inpatient!AR22^2/Inpatient!$AH22)/((Inpatient!AQ22^2/Inpatient!$AG22)/(Inpatient!$AG22-1)+(Inpatient!AR22^2/Inpatient!$AH22)/(Inpatient!$AH22-1))</f>
        <v>1313.4807715754214</v>
      </c>
      <c r="AU62" s="25">
        <f t="shared" si="27"/>
        <v>1.9617723793380761</v>
      </c>
      <c r="AV62" s="180">
        <f t="shared" si="28"/>
        <v>0.14495471779768415</v>
      </c>
    </row>
    <row r="63" spans="1:48" ht="15.75" thickTop="1" x14ac:dyDescent="0.25">
      <c r="A63" s="263">
        <v>2014</v>
      </c>
      <c r="B63" s="5" t="s">
        <v>0</v>
      </c>
      <c r="C63" s="18">
        <f>Inpatient!C23/IncidenceComplications!G20</f>
        <v>1.2738853503184714E-2</v>
      </c>
      <c r="D63" s="18"/>
      <c r="Q63" s="167">
        <f>Inpatient!S23-Inpatient!T23</f>
        <v>14</v>
      </c>
      <c r="R63" s="23">
        <f>Inpatient!U23-Inpatient!V23</f>
        <v>3.5</v>
      </c>
      <c r="S63" s="23">
        <f>SQRT(Inpatient!W23^2+Inpatient!X23^2)</f>
        <v>2.3804761428476202</v>
      </c>
      <c r="T63" s="167">
        <f>(Inpatient!$S23-1)*Inpatient!$W23+(Inpatient!$T23-1)*Inpatient!$X23/(Inpatient!$S23+Inpatient!$T23-2)</f>
        <v>30.946189857019064</v>
      </c>
      <c r="U63" s="23" t="e">
        <f>IF(T63&gt;0,ABS(R63)/(SQRT((Inpatient!W23/Inpatient!$S23)+(Inpatient!X23/Inpatient!$T23))),"n.a.")</f>
        <v>#DIV/0!</v>
      </c>
      <c r="V63" s="23" t="e">
        <f>(Inpatient!W23^2/Inpatient!Q23+Inpatient!X23^2/Inpatient!R23)/((Inpatient!W23^2/Inpatient!Q23)/(Inpatient!Q23-1)+(Inpatient!X23^2/Inpatient!R23)/(Inpatient!R23-1))</f>
        <v>#DIV/0!</v>
      </c>
      <c r="W63" s="23" t="e">
        <f t="shared" si="21"/>
        <v>#DIV/0!</v>
      </c>
      <c r="X63" s="23" t="e">
        <f t="shared" si="22"/>
        <v>#DIV/0!</v>
      </c>
      <c r="Y63" s="167">
        <f>Inpatient!Y23-Inpatient!Z23</f>
        <v>6222.54</v>
      </c>
      <c r="Z63" s="23" t="e">
        <f>Inpatient!AA23-Inpatient!AB23</f>
        <v>#VALUE!</v>
      </c>
      <c r="AA63" s="23">
        <f>SQRT(Inpatient!AC23^2+Inpatient!AD23^2)</f>
        <v>495.50485503844101</v>
      </c>
      <c r="AB63" s="167">
        <f>(Inpatient!$S23-1)*Inpatient!$AC23+(Inpatient!$T23-1)*Inpatient!$AD23/(Inpatient!$S23+Inpatient!$T23-2)</f>
        <v>6441.5631154997327</v>
      </c>
      <c r="AC63" s="23" t="e">
        <f>IF(AB63&gt;0,ABS(Z63)/(AB63*SQRT((1/Inpatient!$S23)+(1/Inpatient!$T23))),"n.a.")</f>
        <v>#VALUE!</v>
      </c>
      <c r="AD63" s="23" t="e">
        <f>(Inpatient!AC23^2/Inpatient!$S23+Inpatient!AD23^2/Inpatient!$T23)/((Inpatient!AC23^2/Inpatient!$S23)/(Inpatient!$S23-1)+(Inpatient!AD23^2/Inpatient!$T23)/(Inpatient!$T23-1))</f>
        <v>#DIV/0!</v>
      </c>
      <c r="AE63" s="23" t="e">
        <f t="shared" si="23"/>
        <v>#DIV/0!</v>
      </c>
      <c r="AF63" s="23" t="e">
        <f t="shared" si="24"/>
        <v>#VALUE!</v>
      </c>
      <c r="AG63" s="167">
        <f>Inpatient!AG23-Inpatient!AH23</f>
        <v>0</v>
      </c>
      <c r="AH63" s="23">
        <f>Inpatient!AI23-Inpatient!AJ23</f>
        <v>0</v>
      </c>
      <c r="AI63" s="23">
        <f>SQRT(Inpatient!AK23^2+Inpatient!AL23^2)</f>
        <v>0</v>
      </c>
      <c r="AJ63" s="23">
        <f>(Inpatient!$AG23-1)*Inpatient!$AK23+(Inpatient!$AH23-1)*Inpatient!$AL23/(Inpatient!$AG23+Inpatient!$AH23-2)</f>
        <v>0</v>
      </c>
      <c r="AK63" s="23" t="e">
        <f>ABS(AH63)/SQRT((Inpatient!AK23/Inpatient!$AG23)+(Inpatient!AL23/Inpatient!$AH23))</f>
        <v>#DIV/0!</v>
      </c>
      <c r="AL63" s="23" t="e">
        <f>(Inpatient!AK23^2/Inpatient!$AG23+Inpatient!AL23^2/Inpatient!$AH23)/((Inpatient!AK23^2/Inpatient!$AG23)/(Inpatient!$AG23-1)+(Inpatient!AL23^2/Inpatient!$AH23)/(Inpatient!$AH23-1))</f>
        <v>#DIV/0!</v>
      </c>
      <c r="AM63" s="23" t="e">
        <f t="shared" si="25"/>
        <v>#DIV/0!</v>
      </c>
      <c r="AN63" s="23" t="e">
        <f t="shared" si="26"/>
        <v>#DIV/0!</v>
      </c>
      <c r="AO63" s="172">
        <f>Inpatient!AM23-Inpatient!AN23</f>
        <v>0</v>
      </c>
      <c r="AP63" s="154" t="e">
        <f>Inpatient!AO23-Inpatient!AP23</f>
        <v>#VALUE!</v>
      </c>
      <c r="AQ63" s="154">
        <f>SQRT(Inpatient!AQ23^2+Inpatient!AR23^2)</f>
        <v>0</v>
      </c>
      <c r="AR63" s="160">
        <f>(Inpatient!$AG23-1)*Inpatient!$AQ23+(Inpatient!$AH23-1)*Inpatient!$AR23/(Inpatient!$AG23+Inpatient!$AH23-2)</f>
        <v>0</v>
      </c>
      <c r="AS63" s="23" t="e">
        <f>ABS(AP63)/SQRT(Inpatient!AQ23^2/Inpatient!AE23+Inpatient!AR23^2/Inpatient!AF23)</f>
        <v>#VALUE!</v>
      </c>
      <c r="AT63" s="23" t="e">
        <f>(Inpatient!AQ23^2/Inpatient!$AG23+Inpatient!AR23^2/Inpatient!$AH23)/((Inpatient!AQ23^2/Inpatient!$AG23)/(Inpatient!$AG23-1)+(Inpatient!AR23^2/Inpatient!$AH23)/(Inpatient!$AH23-1))</f>
        <v>#DIV/0!</v>
      </c>
      <c r="AU63" s="23" t="e">
        <f t="shared" si="27"/>
        <v>#DIV/0!</v>
      </c>
      <c r="AV63" s="178" t="e">
        <f t="shared" si="28"/>
        <v>#VALUE!</v>
      </c>
    </row>
    <row r="64" spans="1:48" x14ac:dyDescent="0.25">
      <c r="A64" s="261"/>
      <c r="B64" s="5" t="s">
        <v>1</v>
      </c>
      <c r="C64" s="18">
        <f>Inpatient!C24/IncidenceComplications!G21</f>
        <v>6.8181818181818179E-3</v>
      </c>
      <c r="D64" s="18"/>
      <c r="Q64" s="167">
        <f>Inpatient!S24-Inpatient!T24</f>
        <v>6</v>
      </c>
      <c r="R64" s="23">
        <f>Inpatient!U24-Inpatient!V24</f>
        <v>6</v>
      </c>
      <c r="S64" s="23">
        <f>SQRT(Inpatient!W24^2+Inpatient!X24^2)</f>
        <v>0</v>
      </c>
      <c r="T64" s="167">
        <f>(Inpatient!$S24-1)*Inpatient!$W24+(Inpatient!$T24-1)*Inpatient!$X24/(Inpatient!$S24+Inpatient!$T24-2)</f>
        <v>0</v>
      </c>
      <c r="U64" s="23" t="str">
        <f>IF(T64&gt;0,ABS(R64)/(SQRT((Inpatient!W24/Inpatient!$S24)+(Inpatient!X24/Inpatient!$T24))),"n.a.")</f>
        <v>n.a.</v>
      </c>
      <c r="V64" s="23" t="e">
        <f>(Inpatient!W24^2/Inpatient!Q24+Inpatient!X24^2/Inpatient!R24)/((Inpatient!W24^2/Inpatient!Q24)/(Inpatient!Q24-1)+(Inpatient!X24^2/Inpatient!R24)/(Inpatient!R24-1))</f>
        <v>#DIV/0!</v>
      </c>
      <c r="W64" s="23" t="e">
        <f t="shared" si="21"/>
        <v>#DIV/0!</v>
      </c>
      <c r="X64" s="23" t="e">
        <f t="shared" si="22"/>
        <v>#VALUE!</v>
      </c>
      <c r="Y64" s="167">
        <f>Inpatient!Y24-Inpatient!Z24</f>
        <v>2278.3200000000002</v>
      </c>
      <c r="Z64" s="23">
        <f>Inpatient!AA24-Inpatient!AB24</f>
        <v>2278.3200000000002</v>
      </c>
      <c r="AA64" s="23">
        <f>SQRT(Inpatient!AC24^2+Inpatient!AD24^2)</f>
        <v>0</v>
      </c>
      <c r="AB64" s="167">
        <f>(Inpatient!$S24-1)*Inpatient!$AC24+(Inpatient!$T24-1)*Inpatient!$AD24/(Inpatient!$S24+Inpatient!$T24-2)</f>
        <v>0</v>
      </c>
      <c r="AC64" s="23" t="str">
        <f>IF(AB64&gt;0,ABS(Z64)/(AB64*SQRT((1/Inpatient!$S24)+(1/Inpatient!$T24))),"n.a.")</f>
        <v>n.a.</v>
      </c>
      <c r="AD64" s="23" t="e">
        <f>(Inpatient!AC24^2/Inpatient!$S24+Inpatient!AD24^2/Inpatient!$T24)/((Inpatient!AC24^2/Inpatient!$S24)/(Inpatient!$S24-1)+(Inpatient!AD24^2/Inpatient!$T24)/(Inpatient!$T24-1))</f>
        <v>#DIV/0!</v>
      </c>
      <c r="AE64" s="23" t="e">
        <f t="shared" si="23"/>
        <v>#DIV/0!</v>
      </c>
      <c r="AF64" s="23" t="e">
        <f t="shared" si="24"/>
        <v>#VALUE!</v>
      </c>
      <c r="AG64" s="167">
        <f>Inpatient!AG24-Inpatient!AH24</f>
        <v>86</v>
      </c>
      <c r="AH64" s="23">
        <f>Inpatient!AI24-Inpatient!AJ24</f>
        <v>1.9444444444444446</v>
      </c>
      <c r="AI64" s="23">
        <f>SQRT(Inpatient!AK24^2+Inpatient!AL24^2)</f>
        <v>2.4608038433722301</v>
      </c>
      <c r="AJ64" s="23">
        <f>(Inpatient!$AG24-1)*Inpatient!$AK24+(Inpatient!$AH24-1)*Inpatient!$AL24/(Inpatient!$AG24+Inpatient!$AH24-2)</f>
        <v>216.55073821675626</v>
      </c>
      <c r="AK64" s="23">
        <f>ABS(AH64)/SQRT((Inpatient!AK24/Inpatient!$AG24)+(Inpatient!AL24/Inpatient!$AH24))</f>
        <v>11.693702597560481</v>
      </c>
      <c r="AL64" s="23">
        <f>(Inpatient!AK24^2/Inpatient!$AG24+Inpatient!AL24^2/Inpatient!$AH24)/((Inpatient!AK24^2/Inpatient!$AG24)/(Inpatient!$AG24-1)+(Inpatient!AL24^2/Inpatient!$AH24)/(Inpatient!$AH24-1))</f>
        <v>88</v>
      </c>
      <c r="AM64" s="23">
        <f t="shared" si="25"/>
        <v>1.9872898648311721</v>
      </c>
      <c r="AN64" s="23">
        <f t="shared" si="26"/>
        <v>1.3073013290731039E-19</v>
      </c>
      <c r="AO64" s="172">
        <f>Inpatient!AM24-Inpatient!AN24</f>
        <v>44847.67</v>
      </c>
      <c r="AP64" s="154">
        <f>Inpatient!AO24-Inpatient!AP24</f>
        <v>78.406111111111386</v>
      </c>
      <c r="AQ64" s="154">
        <f>SQRT(Inpatient!AQ24^2+Inpatient!AR24^2)</f>
        <v>499.03762422273297</v>
      </c>
      <c r="AR64" s="160">
        <f>(Inpatient!$AG24-1)*Inpatient!$AQ24+(Inpatient!$AH24-1)*Inpatient!$AR24/(Inpatient!$AG24+Inpatient!$AH24-2)</f>
        <v>43915.310931600499</v>
      </c>
      <c r="AS64" s="23">
        <f>ABS(AP64)/SQRT(Inpatient!AQ24^2/Inpatient!AE24+Inpatient!AR24^2/Inpatient!AF24)</f>
        <v>0.66658091689360699</v>
      </c>
      <c r="AT64" s="23">
        <f>(Inpatient!AQ24^2/Inpatient!$AG24+Inpatient!AR24^2/Inpatient!$AH24)/((Inpatient!AQ24^2/Inpatient!$AG24)/(Inpatient!$AG24-1)+(Inpatient!AR24^2/Inpatient!$AH24)/(Inpatient!$AH24-1))</f>
        <v>88</v>
      </c>
      <c r="AU64" s="23">
        <f t="shared" si="27"/>
        <v>1.9872898648311721</v>
      </c>
      <c r="AV64" s="178">
        <f t="shared" si="28"/>
        <v>0.50678376455624496</v>
      </c>
    </row>
    <row r="65" spans="1:48" x14ac:dyDescent="0.25">
      <c r="A65" s="261"/>
      <c r="B65" s="5" t="s">
        <v>2</v>
      </c>
      <c r="C65" s="18">
        <f>Inpatient!C25/IncidenceComplications!G22</f>
        <v>7.100591715976331E-3</v>
      </c>
      <c r="D65" s="18"/>
      <c r="Q65" s="167">
        <f>Inpatient!S25-Inpatient!T25</f>
        <v>0</v>
      </c>
      <c r="R65" s="23">
        <f>Inpatient!U25-Inpatient!V25</f>
        <v>0</v>
      </c>
      <c r="S65" s="23">
        <f>SQRT(Inpatient!W25^2+Inpatient!X25^2)</f>
        <v>0</v>
      </c>
      <c r="T65" s="167">
        <f>(Inpatient!$S25-1)*Inpatient!$W25+(Inpatient!$T25-1)*Inpatient!$X25/(Inpatient!$S25+Inpatient!$T25-2)</f>
        <v>0</v>
      </c>
      <c r="U65" s="23" t="str">
        <f>IF(T65&gt;0,ABS(R65)/(SQRT((Inpatient!W25/Inpatient!$S25)+(Inpatient!X25/Inpatient!$T25))),"n.a.")</f>
        <v>n.a.</v>
      </c>
      <c r="V65" s="23" t="e">
        <f>(Inpatient!W25^2/Inpatient!Q25+Inpatient!X25^2/Inpatient!R25)/((Inpatient!W25^2/Inpatient!Q25)/(Inpatient!Q25-1)+(Inpatient!X25^2/Inpatient!R25)/(Inpatient!R25-1))</f>
        <v>#DIV/0!</v>
      </c>
      <c r="W65" s="23" t="e">
        <f t="shared" si="21"/>
        <v>#DIV/0!</v>
      </c>
      <c r="X65" s="23" t="e">
        <f t="shared" si="22"/>
        <v>#VALUE!</v>
      </c>
      <c r="Y65" s="167">
        <f>Inpatient!Y25-Inpatient!Z25</f>
        <v>0</v>
      </c>
      <c r="Z65" s="23" t="e">
        <f>Inpatient!AA25-Inpatient!AB25</f>
        <v>#VALUE!</v>
      </c>
      <c r="AA65" s="23">
        <f>SQRT(Inpatient!AC25^2+Inpatient!AD25^2)</f>
        <v>0</v>
      </c>
      <c r="AB65" s="167">
        <f>(Inpatient!$S25-1)*Inpatient!$AC25+(Inpatient!$T25-1)*Inpatient!$AD25/(Inpatient!$S25+Inpatient!$T25-2)</f>
        <v>0</v>
      </c>
      <c r="AC65" s="23" t="str">
        <f>IF(AB65&gt;0,ABS(Z65)/(AB65*SQRT((1/Inpatient!$S25)+(1/Inpatient!$T25))),"n.a.")</f>
        <v>n.a.</v>
      </c>
      <c r="AD65" s="23" t="e">
        <f>(Inpatient!AC25^2/Inpatient!$S25+Inpatient!AD25^2/Inpatient!$T25)/((Inpatient!AC25^2/Inpatient!$S25)/(Inpatient!$S25-1)+(Inpatient!AD25^2/Inpatient!$T25)/(Inpatient!$T25-1))</f>
        <v>#DIV/0!</v>
      </c>
      <c r="AE65" s="23" t="e">
        <f t="shared" si="23"/>
        <v>#DIV/0!</v>
      </c>
      <c r="AF65" s="23" t="e">
        <f t="shared" si="24"/>
        <v>#VALUE!</v>
      </c>
      <c r="AG65" s="167">
        <f>Inpatient!AG25-Inpatient!AH25</f>
        <v>22</v>
      </c>
      <c r="AH65" s="23">
        <f>Inpatient!AI25-Inpatient!AJ25</f>
        <v>5.5</v>
      </c>
      <c r="AI65" s="23">
        <f>SQRT(Inpatient!AK25^2+Inpatient!AL25^2)</f>
        <v>5.0662280511902198</v>
      </c>
      <c r="AJ65" s="23">
        <f>(Inpatient!$AG25-1)*Inpatient!$AK25+(Inpatient!$AH25-1)*Inpatient!$AL25/(Inpatient!$AG25+Inpatient!$AH25-2)</f>
        <v>106.39078907499461</v>
      </c>
      <c r="AK65" s="23" t="e">
        <f>ABS(AH65)/SQRT((Inpatient!AK25/Inpatient!$AG25)+(Inpatient!AL25/Inpatient!$AH25))</f>
        <v>#DIV/0!</v>
      </c>
      <c r="AL65" s="23" t="e">
        <f>(Inpatient!AK25^2/Inpatient!$AG25+Inpatient!AL25^2/Inpatient!$AH25)/((Inpatient!AK25^2/Inpatient!$AG25)/(Inpatient!$AG25-1)+(Inpatient!AL25^2/Inpatient!$AH25)/(Inpatient!$AH25-1))</f>
        <v>#DIV/0!</v>
      </c>
      <c r="AM65" s="23" t="e">
        <f t="shared" si="25"/>
        <v>#DIV/0!</v>
      </c>
      <c r="AN65" s="23" t="e">
        <f t="shared" si="26"/>
        <v>#DIV/0!</v>
      </c>
      <c r="AO65" s="172">
        <f>Inpatient!AM25-Inpatient!AN25</f>
        <v>10104.36</v>
      </c>
      <c r="AP65" s="154" t="e">
        <f>Inpatient!AO25-Inpatient!AP25</f>
        <v>#VALUE!</v>
      </c>
      <c r="AQ65" s="154">
        <f>SQRT(Inpatient!AQ25^2+Inpatient!AR25^2)</f>
        <v>53.713926189273003</v>
      </c>
      <c r="AR65" s="160">
        <f>(Inpatient!$AG25-1)*Inpatient!$AQ25+(Inpatient!$AH25-1)*Inpatient!$AR25/(Inpatient!$AG25+Inpatient!$AH25-2)</f>
        <v>1127.9924499747331</v>
      </c>
      <c r="AS65" s="23" t="e">
        <f>ABS(AP65)/SQRT(Inpatient!AQ25^2/Inpatient!AE25+Inpatient!AR25^2/Inpatient!AF25)</f>
        <v>#VALUE!</v>
      </c>
      <c r="AT65" s="23" t="e">
        <f>(Inpatient!AQ25^2/Inpatient!$AG25+Inpatient!AR25^2/Inpatient!$AH25)/((Inpatient!AQ25^2/Inpatient!$AG25)/(Inpatient!$AG25-1)+(Inpatient!AR25^2/Inpatient!$AH25)/(Inpatient!$AH25-1))</f>
        <v>#DIV/0!</v>
      </c>
      <c r="AU65" s="23" t="e">
        <f t="shared" si="27"/>
        <v>#DIV/0!</v>
      </c>
      <c r="AV65" s="178" t="e">
        <f t="shared" si="28"/>
        <v>#VALUE!</v>
      </c>
    </row>
    <row r="66" spans="1:48" x14ac:dyDescent="0.25">
      <c r="A66" s="261"/>
      <c r="B66" s="5" t="s">
        <v>3</v>
      </c>
      <c r="C66" s="18">
        <f>Inpatient!C26/IncidenceComplications!G23</f>
        <v>4.2398546335554212E-3</v>
      </c>
      <c r="D66" s="18"/>
      <c r="Q66" s="167">
        <f>Inpatient!S26-Inpatient!T26</f>
        <v>0</v>
      </c>
      <c r="R66" s="23">
        <f>Inpatient!U26-Inpatient!V26</f>
        <v>0</v>
      </c>
      <c r="S66" s="23">
        <f>SQRT(Inpatient!W26^2+Inpatient!X26^2)</f>
        <v>0</v>
      </c>
      <c r="T66" s="167">
        <f>(Inpatient!$S26-1)*Inpatient!$W26+(Inpatient!$T26-1)*Inpatient!$X26/(Inpatient!$S26+Inpatient!$T26-2)</f>
        <v>0</v>
      </c>
      <c r="U66" s="23" t="str">
        <f>IF(T66&gt;0,ABS(R66)/(SQRT((Inpatient!W26/Inpatient!$S26)+(Inpatient!X26/Inpatient!$T26))),"n.a.")</f>
        <v>n.a.</v>
      </c>
      <c r="V66" s="23" t="e">
        <f>(Inpatient!W26^2/Inpatient!Q26+Inpatient!X26^2/Inpatient!R26)/((Inpatient!W26^2/Inpatient!Q26)/(Inpatient!Q26-1)+(Inpatient!X26^2/Inpatient!R26)/(Inpatient!R26-1))</f>
        <v>#DIV/0!</v>
      </c>
      <c r="W66" s="23" t="e">
        <f t="shared" si="21"/>
        <v>#DIV/0!</v>
      </c>
      <c r="X66" s="23" t="e">
        <f t="shared" si="22"/>
        <v>#VALUE!</v>
      </c>
      <c r="Y66" s="167">
        <f>Inpatient!Y26-Inpatient!Z26</f>
        <v>0</v>
      </c>
      <c r="Z66" s="23" t="e">
        <f>Inpatient!AA26-Inpatient!AB26</f>
        <v>#VALUE!</v>
      </c>
      <c r="AA66" s="23">
        <f>SQRT(Inpatient!AC26^2+Inpatient!AD26^2)</f>
        <v>0</v>
      </c>
      <c r="AB66" s="167">
        <f>(Inpatient!$S26-1)*Inpatient!$AC26+(Inpatient!$T26-1)*Inpatient!$AD26/(Inpatient!$S26+Inpatient!$T26-2)</f>
        <v>0</v>
      </c>
      <c r="AC66" s="23" t="str">
        <f>IF(AB66&gt;0,ABS(Z66)/(AB66*SQRT((1/Inpatient!$S26)+(1/Inpatient!$T26))),"n.a.")</f>
        <v>n.a.</v>
      </c>
      <c r="AD66" s="23" t="e">
        <f>(Inpatient!AC26^2/Inpatient!$S26+Inpatient!AD26^2/Inpatient!$T26)/((Inpatient!AC26^2/Inpatient!$S26)/(Inpatient!$S26-1)+(Inpatient!AD26^2/Inpatient!$T26)/(Inpatient!$T26-1))</f>
        <v>#DIV/0!</v>
      </c>
      <c r="AE66" s="23" t="e">
        <f t="shared" si="23"/>
        <v>#DIV/0!</v>
      </c>
      <c r="AF66" s="23" t="e">
        <f t="shared" si="24"/>
        <v>#VALUE!</v>
      </c>
      <c r="AG66" s="167">
        <f>Inpatient!AG26-Inpatient!AH26</f>
        <v>20</v>
      </c>
      <c r="AH66" s="23">
        <f>Inpatient!AI26-Inpatient!AJ26</f>
        <v>6.666666666666667</v>
      </c>
      <c r="AI66" s="23">
        <f>SQRT(Inpatient!AK26^2+Inpatient!AL26^2)</f>
        <v>1.1547005383792499</v>
      </c>
      <c r="AJ66" s="23">
        <f>(Inpatient!$AG26-1)*Inpatient!$AK26+(Inpatient!$AH26-1)*Inpatient!$AL26/(Inpatient!$AG26+Inpatient!$AH26-2)</f>
        <v>21.939310229205748</v>
      </c>
      <c r="AK66" s="23" t="e">
        <f>ABS(AH66)/SQRT((Inpatient!AK26/Inpatient!$AG26)+(Inpatient!AL26/Inpatient!$AH26))</f>
        <v>#DIV/0!</v>
      </c>
      <c r="AL66" s="23" t="e">
        <f>(Inpatient!AK26^2/Inpatient!$AG26+Inpatient!AL26^2/Inpatient!$AH26)/((Inpatient!AK26^2/Inpatient!$AG26)/(Inpatient!$AG26-1)+(Inpatient!AL26^2/Inpatient!$AH26)/(Inpatient!$AH26-1))</f>
        <v>#DIV/0!</v>
      </c>
      <c r="AM66" s="23" t="e">
        <f t="shared" si="25"/>
        <v>#DIV/0!</v>
      </c>
      <c r="AN66" s="23" t="e">
        <f t="shared" si="26"/>
        <v>#DIV/0!</v>
      </c>
      <c r="AO66" s="172">
        <f>Inpatient!AM26-Inpatient!AN26</f>
        <v>7737.2</v>
      </c>
      <c r="AP66" s="154" t="e">
        <f>Inpatient!AO26-Inpatient!AP26</f>
        <v>#VALUE!</v>
      </c>
      <c r="AQ66" s="154">
        <f>SQRT(Inpatient!AQ26^2+Inpatient!AR26^2)</f>
        <v>134.37256949739901</v>
      </c>
      <c r="AR66" s="160">
        <f>(Inpatient!$AG26-1)*Inpatient!$AQ26+(Inpatient!$AH26-1)*Inpatient!$AR26/(Inpatient!$AG26+Inpatient!$AH26-2)</f>
        <v>2553.0788204505811</v>
      </c>
      <c r="AS66" s="23" t="e">
        <f>ABS(AP66)/SQRT(Inpatient!AQ26^2/Inpatient!AE26+Inpatient!AR26^2/Inpatient!AF26)</f>
        <v>#VALUE!</v>
      </c>
      <c r="AT66" s="23" t="e">
        <f>(Inpatient!AQ26^2/Inpatient!$AG26+Inpatient!AR26^2/Inpatient!$AH26)/((Inpatient!AQ26^2/Inpatient!$AG26)/(Inpatient!$AG26-1)+(Inpatient!AR26^2/Inpatient!$AH26)/(Inpatient!$AH26-1))</f>
        <v>#DIV/0!</v>
      </c>
      <c r="AU66" s="23" t="e">
        <f t="shared" si="27"/>
        <v>#DIV/0!</v>
      </c>
      <c r="AV66" s="178" t="e">
        <f t="shared" si="28"/>
        <v>#VALUE!</v>
      </c>
    </row>
    <row r="67" spans="1:48" x14ac:dyDescent="0.25">
      <c r="A67" s="261"/>
      <c r="B67" s="5" t="s">
        <v>4</v>
      </c>
      <c r="C67" s="18">
        <f>Inpatient!C27/IncidenceComplications!G24</f>
        <v>1.95812622382889E-3</v>
      </c>
      <c r="D67" s="18"/>
      <c r="Q67" s="167">
        <f>Inpatient!S27-Inpatient!T27</f>
        <v>5</v>
      </c>
      <c r="R67" s="23">
        <f>Inpatient!U27-Inpatient!V27</f>
        <v>2.5</v>
      </c>
      <c r="S67" s="23">
        <f>SQRT(Inpatient!W27^2+Inpatient!X27^2)</f>
        <v>0.70710678118654802</v>
      </c>
      <c r="T67" s="167">
        <f>(Inpatient!$S27-1)*Inpatient!$W27+(Inpatient!$T27-1)*Inpatient!$X27/(Inpatient!$S27+Inpatient!$T27-2)</f>
        <v>2.8284271247461921</v>
      </c>
      <c r="U67" s="23" t="e">
        <f>IF(T67&gt;0,ABS(R67)/(SQRT((Inpatient!W27/Inpatient!$S27)+(Inpatient!X27/Inpatient!$T27))),"n.a.")</f>
        <v>#DIV/0!</v>
      </c>
      <c r="V67" s="23" t="e">
        <f>(Inpatient!W27^2/Inpatient!Q27+Inpatient!X27^2/Inpatient!R27)/((Inpatient!W27^2/Inpatient!Q27)/(Inpatient!Q27-1)+(Inpatient!X27^2/Inpatient!R27)/(Inpatient!R27-1))</f>
        <v>#DIV/0!</v>
      </c>
      <c r="W67" s="23" t="e">
        <f t="shared" si="21"/>
        <v>#DIV/0!</v>
      </c>
      <c r="X67" s="23" t="e">
        <f t="shared" si="22"/>
        <v>#DIV/0!</v>
      </c>
      <c r="Y67" s="167">
        <f>Inpatient!Y27-Inpatient!Z27</f>
        <v>2973.82</v>
      </c>
      <c r="Z67" s="23" t="e">
        <f>Inpatient!AA27-Inpatient!AB27</f>
        <v>#VALUE!</v>
      </c>
      <c r="AA67" s="23">
        <f>SQRT(Inpatient!AC27^2+Inpatient!AD27^2)</f>
        <v>24.183051916579998</v>
      </c>
      <c r="AB67" s="167">
        <f>(Inpatient!$S27-1)*Inpatient!$AC27+(Inpatient!$T27-1)*Inpatient!$AD27/(Inpatient!$S27+Inpatient!$T27-2)</f>
        <v>96.732207666319994</v>
      </c>
      <c r="AC67" s="23" t="e">
        <f>IF(AB67&gt;0,ABS(Z67)/(AB67*SQRT((1/Inpatient!$S27)+(1/Inpatient!$T27))),"n.a.")</f>
        <v>#VALUE!</v>
      </c>
      <c r="AD67" s="23" t="e">
        <f>(Inpatient!AC27^2/Inpatient!$S27+Inpatient!AD27^2/Inpatient!$T27)/((Inpatient!AC27^2/Inpatient!$S27)/(Inpatient!$S27-1)+(Inpatient!AD27^2/Inpatient!$T27)/(Inpatient!$T27-1))</f>
        <v>#DIV/0!</v>
      </c>
      <c r="AE67" s="23" t="e">
        <f t="shared" si="23"/>
        <v>#DIV/0!</v>
      </c>
      <c r="AF67" s="23" t="e">
        <f t="shared" si="24"/>
        <v>#VALUE!</v>
      </c>
      <c r="AG67" s="167">
        <f>Inpatient!AG27-Inpatient!AH27</f>
        <v>20</v>
      </c>
      <c r="AH67" s="23">
        <f>Inpatient!AI27-Inpatient!AJ27</f>
        <v>1.5999999999999996</v>
      </c>
      <c r="AI67" s="23">
        <f>SQRT(Inpatient!AK27^2+Inpatient!AL27^2)</f>
        <v>1.51657508881031</v>
      </c>
      <c r="AJ67" s="23">
        <f>(Inpatient!$AG27-1)*Inpatient!$AK27+(Inpatient!$AH27-1)*Inpatient!$AL27/(Inpatient!$AG27+Inpatient!$AH27-2)</f>
        <v>33.364651953826822</v>
      </c>
      <c r="AK67" s="23">
        <f>ABS(AH67)/SQRT((Inpatient!AK27/Inpatient!$AG27)+(Inpatient!AL27/Inpatient!$AH27))</f>
        <v>6.2309166479374385</v>
      </c>
      <c r="AL67" s="23">
        <f>(Inpatient!AK27^2/Inpatient!$AG27+Inpatient!AL27^2/Inpatient!$AH27)/((Inpatient!AK27^2/Inpatient!$AG27)/(Inpatient!$AG27-1)+(Inpatient!AL27^2/Inpatient!$AH27)/(Inpatient!$AH27-1))</f>
        <v>22</v>
      </c>
      <c r="AM67" s="23">
        <f t="shared" si="25"/>
        <v>2.0738730679040258</v>
      </c>
      <c r="AN67" s="23">
        <f t="shared" si="26"/>
        <v>2.8531794213497995E-6</v>
      </c>
      <c r="AO67" s="172">
        <f>Inpatient!AM27-Inpatient!AN27</f>
        <v>9803.25</v>
      </c>
      <c r="AP67" s="154">
        <f>Inpatient!AO27-Inpatient!AP27</f>
        <v>-162.0619999999999</v>
      </c>
      <c r="AQ67" s="154">
        <f>SQRT(Inpatient!AQ27^2+Inpatient!AR27^2)</f>
        <v>109.652766814157</v>
      </c>
      <c r="AR67" s="160">
        <f>(Inpatient!$AG27-1)*Inpatient!$AQ27+(Inpatient!$AH27-1)*Inpatient!$AR27/(Inpatient!$AG27+Inpatient!$AH27-2)</f>
        <v>2412.3608699114543</v>
      </c>
      <c r="AS67" s="23">
        <f>ABS(AP67)/SQRT(Inpatient!AQ27^2/Inpatient!AE27+Inpatient!AR27^2/Inpatient!AF27)</f>
        <v>3.3048108050364715</v>
      </c>
      <c r="AT67" s="23">
        <f>(Inpatient!AQ27^2/Inpatient!$AG27+Inpatient!AR27^2/Inpatient!$AH27)/((Inpatient!AQ27^2/Inpatient!$AG27)/(Inpatient!$AG27-1)+(Inpatient!AR27^2/Inpatient!$AH27)/(Inpatient!$AH27-1))</f>
        <v>22</v>
      </c>
      <c r="AU67" s="23">
        <f t="shared" si="27"/>
        <v>2.0738730679040258</v>
      </c>
      <c r="AV67" s="178">
        <f t="shared" si="28"/>
        <v>3.2250534346443863E-3</v>
      </c>
    </row>
    <row r="68" spans="1:48" x14ac:dyDescent="0.25">
      <c r="A68" s="261"/>
      <c r="B68" s="5" t="s">
        <v>5</v>
      </c>
      <c r="C68" s="18">
        <f>Inpatient!C28/IncidenceComplications!G25</f>
        <v>3.1576655052264809E-3</v>
      </c>
      <c r="D68" s="18"/>
      <c r="Q68" s="167">
        <f>Inpatient!S28-Inpatient!T28</f>
        <v>25</v>
      </c>
      <c r="R68" s="23">
        <f>Inpatient!U28-Inpatient!V28</f>
        <v>4.166666666666667</v>
      </c>
      <c r="S68" s="23">
        <f>SQRT(Inpatient!W28^2+Inpatient!X28^2)</f>
        <v>3.3714487489307401</v>
      </c>
      <c r="T68" s="167">
        <f>(Inpatient!$S28-1)*Inpatient!$W28+(Inpatient!$T28-1)*Inpatient!$X28/(Inpatient!$S28+Inpatient!$T28-2)</f>
        <v>80.914769974337759</v>
      </c>
      <c r="U68" s="23" t="e">
        <f>IF(T68&gt;0,ABS(R68)/(SQRT((Inpatient!W28/Inpatient!$S28)+(Inpatient!X28/Inpatient!$T28))),"n.a.")</f>
        <v>#DIV/0!</v>
      </c>
      <c r="V68" s="23" t="e">
        <f>(Inpatient!W28^2/Inpatient!Q28+Inpatient!X28^2/Inpatient!R28)/((Inpatient!W28^2/Inpatient!Q28)/(Inpatient!Q28-1)+(Inpatient!X28^2/Inpatient!R28)/(Inpatient!R28-1))</f>
        <v>#DIV/0!</v>
      </c>
      <c r="W68" s="23" t="e">
        <f t="shared" si="21"/>
        <v>#DIV/0!</v>
      </c>
      <c r="X68" s="23" t="e">
        <f t="shared" si="22"/>
        <v>#DIV/0!</v>
      </c>
      <c r="Y68" s="167">
        <f>Inpatient!Y28-Inpatient!Z28</f>
        <v>10418.56</v>
      </c>
      <c r="Z68" s="23" t="e">
        <f>Inpatient!AA28-Inpatient!AB28</f>
        <v>#VALUE!</v>
      </c>
      <c r="AA68" s="23">
        <f>SQRT(Inpatient!AC28^2+Inpatient!AD28^2)</f>
        <v>1069.6393291884301</v>
      </c>
      <c r="AB68" s="167">
        <f>(Inpatient!$S28-1)*Inpatient!$AC28+(Inpatient!$T28-1)*Inpatient!$AD28/(Inpatient!$S28+Inpatient!$T28-2)</f>
        <v>25671.343900522323</v>
      </c>
      <c r="AC68" s="23" t="e">
        <f>IF(AB68&gt;0,ABS(Z68)/(AB68*SQRT((1/Inpatient!$S28)+(1/Inpatient!$T28))),"n.a.")</f>
        <v>#VALUE!</v>
      </c>
      <c r="AD68" s="23" t="e">
        <f>(Inpatient!AC28^2/Inpatient!$S28+Inpatient!AD28^2/Inpatient!$T28)/((Inpatient!AC28^2/Inpatient!$S28)/(Inpatient!$S28-1)+(Inpatient!AD28^2/Inpatient!$T28)/(Inpatient!$T28-1))</f>
        <v>#DIV/0!</v>
      </c>
      <c r="AE68" s="23" t="e">
        <f t="shared" si="23"/>
        <v>#DIV/0!</v>
      </c>
      <c r="AF68" s="23" t="e">
        <f t="shared" si="24"/>
        <v>#VALUE!</v>
      </c>
      <c r="AG68" s="167">
        <f>Inpatient!AG28-Inpatient!AH28</f>
        <v>215</v>
      </c>
      <c r="AH68" s="23">
        <f>Inpatient!AI28-Inpatient!AJ28</f>
        <v>9.3478260869565215</v>
      </c>
      <c r="AI68" s="23">
        <f>SQRT(Inpatient!AK28^2+Inpatient!AL28^2)</f>
        <v>14.2720601037392</v>
      </c>
      <c r="AJ68" s="23">
        <f>(Inpatient!$AG28-1)*Inpatient!$AK28+(Inpatient!$AH28-1)*Inpatient!$AL28/(Inpatient!$AG28+Inpatient!$AH28-2)</f>
        <v>3054.220862200189</v>
      </c>
      <c r="AK68" s="23" t="e">
        <f>ABS(AH68)/SQRT((Inpatient!AK28/Inpatient!$AG28)+(Inpatient!AL28/Inpatient!$AH28))</f>
        <v>#DIV/0!</v>
      </c>
      <c r="AL68" s="23" t="e">
        <f>(Inpatient!AK28^2/Inpatient!$AG28+Inpatient!AL28^2/Inpatient!$AH28)/((Inpatient!AK28^2/Inpatient!$AG28)/(Inpatient!$AG28-1)+(Inpatient!AL28^2/Inpatient!$AH28)/(Inpatient!$AH28-1))</f>
        <v>#DIV/0!</v>
      </c>
      <c r="AM68" s="23" t="e">
        <f t="shared" si="25"/>
        <v>#DIV/0!</v>
      </c>
      <c r="AN68" s="23" t="e">
        <f t="shared" si="26"/>
        <v>#DIV/0!</v>
      </c>
      <c r="AO68" s="172">
        <f>Inpatient!AM28-Inpatient!AN28</f>
        <v>184111.4</v>
      </c>
      <c r="AP68" s="154" t="e">
        <f>Inpatient!AO28-Inpatient!AP28</f>
        <v>#VALUE!</v>
      </c>
      <c r="AQ68" s="154">
        <f>SQRT(Inpatient!AQ28^2+Inpatient!AR28^2)</f>
        <v>26673.079640995598</v>
      </c>
      <c r="AR68" s="160">
        <f>(Inpatient!$AG28-1)*Inpatient!$AQ28+(Inpatient!$AH28-1)*Inpatient!$AR28/(Inpatient!$AG28+Inpatient!$AH28-2)</f>
        <v>5708039.043173058</v>
      </c>
      <c r="AS68" s="23" t="e">
        <f>ABS(AP68)/SQRT(Inpatient!AQ28^2/Inpatient!AE28+Inpatient!AR28^2/Inpatient!AF28)</f>
        <v>#VALUE!</v>
      </c>
      <c r="AT68" s="23" t="e">
        <f>(Inpatient!AQ28^2/Inpatient!$AG28+Inpatient!AR28^2/Inpatient!$AH28)/((Inpatient!AQ28^2/Inpatient!$AG28)/(Inpatient!$AG28-1)+(Inpatient!AR28^2/Inpatient!$AH28)/(Inpatient!$AH28-1))</f>
        <v>#DIV/0!</v>
      </c>
      <c r="AU68" s="23" t="e">
        <f t="shared" si="27"/>
        <v>#DIV/0!</v>
      </c>
      <c r="AV68" s="178" t="e">
        <f t="shared" si="28"/>
        <v>#VALUE!</v>
      </c>
    </row>
    <row r="69" spans="1:48" x14ac:dyDescent="0.25">
      <c r="A69" s="261"/>
      <c r="B69" s="6" t="s">
        <v>6</v>
      </c>
      <c r="C69" s="19">
        <f>Inpatient!C29/IncidenceComplications!G26</f>
        <v>5.6202328382175832E-3</v>
      </c>
      <c r="D69" s="19"/>
      <c r="Q69" s="168">
        <f>Inpatient!S29-Inpatient!T29</f>
        <v>8</v>
      </c>
      <c r="R69" s="24">
        <f>Inpatient!U29-Inpatient!V29</f>
        <v>4</v>
      </c>
      <c r="S69" s="24">
        <f>SQRT(Inpatient!W29^2+Inpatient!X29^2)</f>
        <v>0</v>
      </c>
      <c r="T69" s="168">
        <f>(Inpatient!$S29-1)*Inpatient!$W29+(Inpatient!$T29-1)*Inpatient!$X29/(Inpatient!$S29+Inpatient!$T29-2)</f>
        <v>0</v>
      </c>
      <c r="U69" s="24" t="str">
        <f>IF(T69&gt;0,ABS(R69)/(SQRT((Inpatient!W29/Inpatient!$S29)+(Inpatient!X29/Inpatient!$T29))),"n.a.")</f>
        <v>n.a.</v>
      </c>
      <c r="V69" s="24" t="e">
        <f>(Inpatient!W29^2/Inpatient!Q29+Inpatient!X29^2/Inpatient!R29)/((Inpatient!W29^2/Inpatient!Q29)/(Inpatient!Q29-1)+(Inpatient!X29^2/Inpatient!R29)/(Inpatient!R29-1))</f>
        <v>#DIV/0!</v>
      </c>
      <c r="W69" s="24" t="e">
        <f t="shared" si="21"/>
        <v>#DIV/0!</v>
      </c>
      <c r="X69" s="24" t="e">
        <f t="shared" si="22"/>
        <v>#VALUE!</v>
      </c>
      <c r="Y69" s="168">
        <f>Inpatient!Y29-Inpatient!Z29</f>
        <v>2721.49</v>
      </c>
      <c r="Z69" s="24" t="e">
        <f>Inpatient!AA29-Inpatient!AB29</f>
        <v>#VALUE!</v>
      </c>
      <c r="AA69" s="24">
        <f>SQRT(Inpatient!AC29^2+Inpatient!AD29^2)</f>
        <v>10.4722514293729</v>
      </c>
      <c r="AB69" s="168">
        <f>(Inpatient!$S29-1)*Inpatient!$AC29+(Inpatient!$T29-1)*Inpatient!$AD29/(Inpatient!$S29+Inpatient!$T29-2)</f>
        <v>73.305760005610296</v>
      </c>
      <c r="AC69" s="24" t="e">
        <f>IF(AB69&gt;0,ABS(Z69)/(AB69*SQRT((1/Inpatient!$S29)+(1/Inpatient!$T29))),"n.a.")</f>
        <v>#VALUE!</v>
      </c>
      <c r="AD69" s="24" t="e">
        <f>(Inpatient!AC29^2/Inpatient!$S29+Inpatient!AD29^2/Inpatient!$T29)/((Inpatient!AC29^2/Inpatient!$S29)/(Inpatient!$S29-1)+(Inpatient!AD29^2/Inpatient!$T29)/(Inpatient!$T29-1))</f>
        <v>#DIV/0!</v>
      </c>
      <c r="AE69" s="24" t="e">
        <f t="shared" si="23"/>
        <v>#DIV/0!</v>
      </c>
      <c r="AF69" s="24" t="e">
        <f t="shared" si="24"/>
        <v>#VALUE!</v>
      </c>
      <c r="AG69" s="168">
        <f>Inpatient!AG29-Inpatient!AH29</f>
        <v>109</v>
      </c>
      <c r="AH69" s="24">
        <f>Inpatient!AI29-Inpatient!AJ29</f>
        <v>1.1999999999999993</v>
      </c>
      <c r="AI69" s="24">
        <f>SQRT(Inpatient!AK29^2+Inpatient!AL29^2)</f>
        <v>6.6996801629416769</v>
      </c>
      <c r="AJ69" s="24">
        <f>(Inpatient!$AG29-1)*Inpatient!$AK29+(Inpatient!$AH29-1)*Inpatient!$AL29/(Inpatient!$AG29+Inpatient!$AH29-2)</f>
        <v>632.99607135044585</v>
      </c>
      <c r="AK69" s="24">
        <f>ABS(AH69)/SQRT((Inpatient!AK29/Inpatient!$AG29)+(Inpatient!AL29/Inpatient!$AH29))</f>
        <v>2.0424196036955768</v>
      </c>
      <c r="AL69" s="24">
        <f>(Inpatient!AK29^2/Inpatient!$AG29+Inpatient!AL29^2/Inpatient!$AH29)/((Inpatient!AK29^2/Inpatient!$AG29)/(Inpatient!$AG29-1)+(Inpatient!AL29^2/Inpatient!$AH29)/(Inpatient!$AH29-1))</f>
        <v>14.939478082277461</v>
      </c>
      <c r="AM69" s="24">
        <f t="shared" si="25"/>
        <v>2.1447866879178044</v>
      </c>
      <c r="AN69" s="24">
        <f t="shared" si="26"/>
        <v>6.041430648234565E-2</v>
      </c>
      <c r="AO69" s="173">
        <f>Inpatient!AM29-Inpatient!AN29</f>
        <v>68250.239999999991</v>
      </c>
      <c r="AP69" s="155">
        <f>Inpatient!AO29-Inpatient!AP29</f>
        <v>-2227.9890000000005</v>
      </c>
      <c r="AQ69" s="155">
        <f>SQRT(Inpatient!AQ29^2+Inpatient!AR29^2)</f>
        <v>12105.483126423269</v>
      </c>
      <c r="AR69" s="161">
        <f>(Inpatient!$AG29-1)*Inpatient!$AQ29+(Inpatient!$AH29-1)*Inpatient!$AR29/(Inpatient!$AG29+Inpatient!$AH29-2)</f>
        <v>1158181.517134391</v>
      </c>
      <c r="AS69" s="24">
        <f>ABS(AP69)/SQRT(Inpatient!AQ29^2/Inpatient!AE29+Inpatient!AR29^2/Inpatient!AF29)</f>
        <v>0.38060513011411173</v>
      </c>
      <c r="AT69" s="24">
        <f>(Inpatient!AQ29^2/Inpatient!$AG29+Inpatient!AR29^2/Inpatient!$AH29)/((Inpatient!AQ29^2/Inpatient!$AG29)/(Inpatient!$AG29-1)+(Inpatient!AR29^2/Inpatient!$AH29)/(Inpatient!$AH29-1))</f>
        <v>15.064982624879859</v>
      </c>
      <c r="AU69" s="24">
        <f t="shared" si="27"/>
        <v>2.1314495455597742</v>
      </c>
      <c r="AV69" s="179">
        <f t="shared" si="28"/>
        <v>0.70883216691379469</v>
      </c>
    </row>
    <row r="70" spans="1:48" ht="15.75" thickBot="1" x14ac:dyDescent="0.3">
      <c r="A70" s="262"/>
      <c r="B70" s="15" t="s">
        <v>14</v>
      </c>
      <c r="C70" s="20">
        <f>Inpatient!C30/IncidenceComplications!G27</f>
        <v>3.7166497057652317E-3</v>
      </c>
      <c r="D70" s="20"/>
      <c r="Q70" s="169">
        <f>Inpatient!S30-Inpatient!T30</f>
        <v>58</v>
      </c>
      <c r="R70" s="25">
        <f>Inpatient!U30-Inpatient!V30</f>
        <v>1.0666666666666664</v>
      </c>
      <c r="S70" s="25">
        <f>SQRT(Inpatient!W30^2+Inpatient!X30^2)</f>
        <v>2.0936411663256278</v>
      </c>
      <c r="T70" s="169">
        <f>(Inpatient!$S30-1)*Inpatient!$W30+(Inpatient!$T30-1)*Inpatient!$X30/(Inpatient!$S30+Inpatient!$T30-2)</f>
        <v>125.61846997953766</v>
      </c>
      <c r="U70" s="25">
        <f>IF(T70&gt;0,ABS(R70)/(SQRT((Inpatient!W30/Inpatient!$S30)+(Inpatient!X30/Inpatient!$T30))),"n.a.")</f>
        <v>5.7576136139986307</v>
      </c>
      <c r="V70" s="25" t="e">
        <f>(Inpatient!W30^2/Inpatient!Q30+Inpatient!X30^2/Inpatient!R30)/((Inpatient!W30^2/Inpatient!Q30)/(Inpatient!Q30-1)+(Inpatient!X30^2/Inpatient!R30)/(Inpatient!R30-1))</f>
        <v>#DIV/0!</v>
      </c>
      <c r="W70" s="25" t="e">
        <f t="shared" si="21"/>
        <v>#DIV/0!</v>
      </c>
      <c r="X70" s="25" t="e">
        <f t="shared" si="22"/>
        <v>#DIV/0!</v>
      </c>
      <c r="Y70" s="169">
        <f>Inpatient!Y30-Inpatient!Z30</f>
        <v>24614.729999999996</v>
      </c>
      <c r="Z70" s="25">
        <f>Inpatient!AA30-Inpatient!AB30</f>
        <v>121.7859999999996</v>
      </c>
      <c r="AA70" s="25">
        <f>SQRT(Inpatient!AC30^2+Inpatient!AD30^2)</f>
        <v>680.62790224991045</v>
      </c>
      <c r="AB70" s="169">
        <f>(Inpatient!$S30-1)*Inpatient!$AC30+(Inpatient!$T30-1)*Inpatient!$AD30/(Inpatient!$S30+Inpatient!$T30-2)</f>
        <v>40837.674134994624</v>
      </c>
      <c r="AC70" s="25">
        <f>IF(AB70&gt;0,ABS(Z70)/(AB70*SQRT((1/Inpatient!$S30)+(1/Inpatient!$T30))),"n.a.")</f>
        <v>5.0428021002917921E-3</v>
      </c>
      <c r="AD70" s="25">
        <f>(Inpatient!AC30^2/Inpatient!$S30+Inpatient!AD30^2/Inpatient!$T30)/((Inpatient!AC30^2/Inpatient!$S30)/(Inpatient!$S30-1)+(Inpatient!AD30^2/Inpatient!$T30)/(Inpatient!$T30-1))</f>
        <v>60</v>
      </c>
      <c r="AE70" s="25">
        <f t="shared" si="23"/>
        <v>2.0002978220142609</v>
      </c>
      <c r="AF70" s="25">
        <f t="shared" si="24"/>
        <v>0.99599317256655318</v>
      </c>
      <c r="AG70" s="169">
        <f>Inpatient!AG30-Inpatient!AH30</f>
        <v>472</v>
      </c>
      <c r="AH70" s="25">
        <f>Inpatient!AI30-Inpatient!AJ30</f>
        <v>2.2352941176470589</v>
      </c>
      <c r="AI70" s="25">
        <f>SQRT(Inpatient!AK30^2+Inpatient!AL30^2)</f>
        <v>7.8944386484623221</v>
      </c>
      <c r="AJ70" s="25">
        <f>(Inpatient!$AG30-1)*Inpatient!$AK30+(Inpatient!$AH30-1)*Inpatient!$AL30/(Inpatient!$AG30+Inpatient!$AH30-2)</f>
        <v>3268.9852241415124</v>
      </c>
      <c r="AK70" s="25">
        <f>ABS(AH70)/SQRT((Inpatient!AK30/Inpatient!$AG30)+(Inpatient!AL30/Inpatient!$AH30))</f>
        <v>4.7054807348917</v>
      </c>
      <c r="AL70" s="25">
        <f>(Inpatient!AK30^2/Inpatient!$AG30+Inpatient!AL30^2/Inpatient!$AH30)/((Inpatient!AK30^2/Inpatient!$AG30)/(Inpatient!$AG30-1)+(Inpatient!AL30^2/Inpatient!$AH30)/(Inpatient!$AH30-1))</f>
        <v>20.821161698104049</v>
      </c>
      <c r="AM70" s="25">
        <f t="shared" si="25"/>
        <v>2.0859634472658648</v>
      </c>
      <c r="AN70" s="25">
        <f t="shared" si="26"/>
        <v>1.3568552053337961E-4</v>
      </c>
      <c r="AO70" s="174">
        <f>Inpatient!AM30-Inpatient!AN30</f>
        <v>324854.11999999994</v>
      </c>
      <c r="AP70" s="156">
        <f>Inpatient!AO30-Inpatient!AP30</f>
        <v>-128.62058823529424</v>
      </c>
      <c r="AQ70" s="156">
        <f>SQRT(Inpatient!AQ30^2+Inpatient!AR30^2)</f>
        <v>13789.741678111197</v>
      </c>
      <c r="AR70" s="162">
        <f>(Inpatient!$AG30-1)*Inpatient!$AQ30+(Inpatient!$AH30-1)*Inpatient!$AR30/(Inpatient!$AG30+Inpatient!$AH30-2)</f>
        <v>5676040.1723209694</v>
      </c>
      <c r="AS70" s="25">
        <f>ABS(AP70)/SQRT(Inpatient!AQ30^2/Inpatient!AE30+Inpatient!AR30^2/Inpatient!AF30)</f>
        <v>3.2056864035520875E-2</v>
      </c>
      <c r="AT70" s="25">
        <f>(Inpatient!AQ30^2/Inpatient!$AG30+Inpatient!AR30^2/Inpatient!$AH30)/((Inpatient!AQ30^2/Inpatient!$AG30)/(Inpatient!$AG30-1)+(Inpatient!AR30^2/Inpatient!$AH30)/(Inpatient!$AH30-1))</f>
        <v>20.748444668014514</v>
      </c>
      <c r="AU70" s="25">
        <f t="shared" si="27"/>
        <v>2.0859634472658648</v>
      </c>
      <c r="AV70" s="180">
        <f t="shared" si="28"/>
        <v>0.97474446485511557</v>
      </c>
    </row>
    <row r="71" spans="1:48" ht="16.5" thickTop="1" thickBot="1" x14ac:dyDescent="0.3">
      <c r="A71" s="259" t="s">
        <v>14</v>
      </c>
      <c r="B71" s="259"/>
      <c r="C71" s="126">
        <f>Inpatient!C31/IncidenceComplications!G28</f>
        <v>4.816540293829991E-3</v>
      </c>
      <c r="D71" s="126"/>
      <c r="Q71" s="170">
        <f>Inpatient!S31-Inpatient!T31</f>
        <v>77</v>
      </c>
      <c r="R71" s="123">
        <f>Inpatient!U31-Inpatient!V31</f>
        <v>0.28526645768025105</v>
      </c>
      <c r="S71" s="123">
        <f>SQRT(Inpatient!W31^2+Inpatient!X31^2)</f>
        <v>1.9715570083152654</v>
      </c>
      <c r="T71" s="170">
        <f>(Inpatient!$S31-1)*Inpatient!$W31+(Inpatient!$T31-1)*Inpatient!$X31/(Inpatient!$S31+Inpatient!$T31-2)</f>
        <v>200.75500302058674</v>
      </c>
      <c r="U71" s="123">
        <f>IF(T71&gt;0,ABS(R71)/(SQRT((Inpatient!W31/Inpatient!$S31)+(Inpatient!X31/Inpatient!$T31))),"n.a.")</f>
        <v>1.4616962099757431</v>
      </c>
      <c r="V71" s="123">
        <f>(Inpatient!W31^2/Inpatient!Q31+Inpatient!X31^2/Inpatient!R31)/((Inpatient!W31^2/Inpatient!Q31)/(Inpatient!Q31-1)+(Inpatient!X31^2/Inpatient!R31)/(Inpatient!R31-1))</f>
        <v>15.060609538173992</v>
      </c>
      <c r="W71" s="123">
        <f t="shared" si="21"/>
        <v>2.1314495455597742</v>
      </c>
      <c r="X71" s="123">
        <f t="shared" si="22"/>
        <v>0.16445722911554275</v>
      </c>
      <c r="Y71" s="170">
        <f>Inpatient!Y31-Inpatient!Z31</f>
        <v>24403.402770999994</v>
      </c>
      <c r="Z71" s="123">
        <f>Inpatient!AA31-Inpatient!AB31</f>
        <v>-451.6244260658309</v>
      </c>
      <c r="AA71" s="123">
        <f>SQRT(Inpatient!AC31^2+Inpatient!AD31^2)</f>
        <v>952.93869592814121</v>
      </c>
      <c r="AB71" s="170">
        <f>(Inpatient!$S31-1)*Inpatient!$AC31+(Inpatient!$T31-1)*Inpatient!$AD31/(Inpatient!$S31+Inpatient!$T31-2)</f>
        <v>59073.668605328865</v>
      </c>
      <c r="AC71" s="123">
        <f>IF(AB71&gt;0,ABS(Z71)/(AB71*SQRT((1/Inpatient!$S31)+(1/Inpatient!$T31))),"n.a.")</f>
        <v>4.2595985272097743E-2</v>
      </c>
      <c r="AD71" s="123">
        <f>(Inpatient!AC31^2/Inpatient!$S31+Inpatient!AD31^2/Inpatient!$T31)/((Inpatient!AC31^2/Inpatient!$S31)/(Inpatient!$S31-1)+(Inpatient!AD31^2/Inpatient!$T31)/(Inpatient!$T31-1))</f>
        <v>44.40673332197445</v>
      </c>
      <c r="AE71" s="123">
        <f t="shared" si="23"/>
        <v>2.0153675744437649</v>
      </c>
      <c r="AF71" s="123">
        <f t="shared" si="24"/>
        <v>0.96621631172131117</v>
      </c>
      <c r="AG71" s="170">
        <f>Inpatient!AG31-Inpatient!AH31</f>
        <v>2431</v>
      </c>
      <c r="AH71" s="123">
        <f>Inpatient!AI31-Inpatient!AJ31</f>
        <v>2.9164868364264134</v>
      </c>
      <c r="AI71" s="123">
        <f>SQRT(Inpatient!AK31^2+Inpatient!AL31^2)</f>
        <v>8.219569813543945</v>
      </c>
      <c r="AJ71" s="123">
        <f>(Inpatient!$AG31-1)*Inpatient!$AK31+(Inpatient!$AH31-1)*Inpatient!$AL31/(Inpatient!$AG31+Inpatient!$AH31-2)</f>
        <v>20205.936861452257</v>
      </c>
      <c r="AK71" s="123">
        <f>ABS(AH71)/SQRT((Inpatient!AK31/Inpatient!$AG31)+(Inpatient!AL31/Inpatient!$AH31))</f>
        <v>22.325143856092176</v>
      </c>
      <c r="AL71" s="123">
        <f>(Inpatient!AK31^2/Inpatient!$AG31+Inpatient!AL31^2/Inpatient!$AH31)/((Inpatient!AK31^2/Inpatient!$AG31)/(Inpatient!$AG31-1)+(Inpatient!AL31^2/Inpatient!$AH31)/(Inpatient!$AH31-1))</f>
        <v>308.71364276272726</v>
      </c>
      <c r="AM71" s="123">
        <f t="shared" si="25"/>
        <v>1.9676960046166012</v>
      </c>
      <c r="AN71" s="123">
        <f t="shared" si="26"/>
        <v>2.4432397591629329E-66</v>
      </c>
      <c r="AO71" s="175">
        <f>Inpatient!AM31-Inpatient!AN31</f>
        <v>1205238.1332960001</v>
      </c>
      <c r="AP71" s="157">
        <f>Inpatient!AO31-Inpatient!AP31</f>
        <v>1205.8051316166743</v>
      </c>
      <c r="AQ71" s="157">
        <f>SQRT(Inpatient!AQ31^2+Inpatient!AR31^2)</f>
        <v>11633.50411161089</v>
      </c>
      <c r="AR71" s="163">
        <f>(Inpatient!$AG31-1)*Inpatient!$AQ31+(Inpatient!$AH31-1)*Inpatient!$AR31/(Inpatient!$AG31+Inpatient!$AH31-2)</f>
        <v>28511231.881783288</v>
      </c>
      <c r="AS71" s="123">
        <f>ABS(AP71)/SQRT(Inpatient!AQ31^2/Inpatient!AE31+Inpatient!AR31^2/Inpatient!AF31)</f>
        <v>1.3453811156811</v>
      </c>
      <c r="AT71" s="123">
        <f>(Inpatient!AQ31^2/Inpatient!$AG31+Inpatient!AR31^2/Inpatient!$AH31)/((Inpatient!AQ31^2/Inpatient!$AG31)/(Inpatient!$AG31-1)+(Inpatient!AR31^2/Inpatient!$AH31)/(Inpatient!$AH31-1))</f>
        <v>304.67798196184236</v>
      </c>
      <c r="AU71" s="123">
        <f t="shared" si="27"/>
        <v>1.9677981407170377</v>
      </c>
      <c r="AV71" s="181">
        <f t="shared" si="28"/>
        <v>0.17950485079808573</v>
      </c>
    </row>
    <row r="72" spans="1:48" x14ac:dyDescent="0.25">
      <c r="A72" s="273" t="s">
        <v>35</v>
      </c>
      <c r="B72" s="12" t="s">
        <v>0</v>
      </c>
      <c r="C72" s="128">
        <f>Inpatient!C32/IncidenceComplications!G29</f>
        <v>2.2445363260484349E-2</v>
      </c>
      <c r="D72" s="128"/>
      <c r="Q72" s="167">
        <f>Inpatient!S32-Inpatient!T32</f>
        <v>14</v>
      </c>
      <c r="R72" s="124">
        <f>Inpatient!U32-Inpatient!V32</f>
        <v>3.5</v>
      </c>
      <c r="S72" s="124">
        <f>SQRT(Inpatient!W32^2+Inpatient!X32^2)</f>
        <v>2.3804761428476202</v>
      </c>
      <c r="T72" s="167">
        <f>(Inpatient!$S32-1)*Inpatient!$W32+(Inpatient!$T32-1)*Inpatient!$X32/(Inpatient!$S32+Inpatient!$T32-2)</f>
        <v>30.946189857019064</v>
      </c>
      <c r="U72" s="124" t="e">
        <f>IF(T72&gt;0,ABS(R72)/(SQRT((Inpatient!W32/Inpatient!$S32)+(Inpatient!X32/Inpatient!$T32))),"n.a.")</f>
        <v>#DIV/0!</v>
      </c>
      <c r="V72" s="124" t="e">
        <f>(Inpatient!W32^2/Inpatient!Q32+Inpatient!X32^2/Inpatient!R32)/((Inpatient!W32^2/Inpatient!Q32)/(Inpatient!Q32-1)+(Inpatient!X32^2/Inpatient!R32)/(Inpatient!R32-1))</f>
        <v>#DIV/0!</v>
      </c>
      <c r="W72" s="124" t="e">
        <f t="shared" si="21"/>
        <v>#DIV/0!</v>
      </c>
      <c r="X72" s="124" t="e">
        <f t="shared" si="22"/>
        <v>#DIV/0!</v>
      </c>
      <c r="Y72" s="167">
        <f>Inpatient!Y32-Inpatient!Z32</f>
        <v>6222.54</v>
      </c>
      <c r="Z72" s="124">
        <f>Inpatient!AA32-Inpatient!AB32</f>
        <v>1555.635</v>
      </c>
      <c r="AA72" s="124">
        <f>SQRT(Inpatient!AC32^2+Inpatient!AD32^2)</f>
        <v>495.50485503844101</v>
      </c>
      <c r="AB72" s="167">
        <f>(Inpatient!$S32-1)*Inpatient!$AC32+(Inpatient!$T32-1)*Inpatient!$AD32/(Inpatient!$S32+Inpatient!$T32-2)</f>
        <v>6441.5631154997327</v>
      </c>
      <c r="AC72" s="124" t="e">
        <f>IF(AB72&gt;0,ABS(Z72)/(AB72*SQRT((1/Inpatient!$S32)+(1/Inpatient!$T32))),"n.a.")</f>
        <v>#DIV/0!</v>
      </c>
      <c r="AD72" s="124" t="e">
        <f>(Inpatient!AC32^2/Inpatient!$S32+Inpatient!AD32^2/Inpatient!$T32)/((Inpatient!AC32^2/Inpatient!$S32)/(Inpatient!$S32-1)+(Inpatient!AD32^2/Inpatient!$T32)/(Inpatient!$T32-1))</f>
        <v>#DIV/0!</v>
      </c>
      <c r="AE72" s="124" t="e">
        <f t="shared" si="23"/>
        <v>#DIV/0!</v>
      </c>
      <c r="AF72" s="124" t="e">
        <f t="shared" si="24"/>
        <v>#DIV/0!</v>
      </c>
      <c r="AG72" s="167">
        <f>Inpatient!AG32-Inpatient!AH32</f>
        <v>198</v>
      </c>
      <c r="AH72" s="124">
        <f>Inpatient!AI32-Inpatient!AJ32</f>
        <v>5.6190476190476186</v>
      </c>
      <c r="AI72" s="124">
        <f>SQRT(Inpatient!AK32^2+Inpatient!AL32^2)</f>
        <v>17.040393187951992</v>
      </c>
      <c r="AJ72" s="124">
        <f>(Inpatient!$AG32-1)*Inpatient!$AK32+(Inpatient!$AH32-1)*Inpatient!$AL32/(Inpatient!$AG32+Inpatient!$AH32-2)</f>
        <v>3760.2819201543894</v>
      </c>
      <c r="AK72" s="124">
        <f>ABS(AH72)/SQRT((Inpatient!AK32/Inpatient!$AG32)+(Inpatient!AL32/Inpatient!$AH32))</f>
        <v>14.470477320965292</v>
      </c>
      <c r="AL72" s="124">
        <f>(Inpatient!AK32^2/Inpatient!$AG32+Inpatient!AL32^2/Inpatient!$AH32)/((Inpatient!AK32^2/Inpatient!$AG32)/(Inpatient!$AG32-1)+(Inpatient!AL32^2/Inpatient!$AH32)/(Inpatient!$AH32-1))</f>
        <v>122.67152485842352</v>
      </c>
      <c r="AM72" s="124">
        <f t="shared" si="25"/>
        <v>1.9795998784866402</v>
      </c>
      <c r="AN72" s="124">
        <f t="shared" si="26"/>
        <v>3.0367709949311856E-28</v>
      </c>
      <c r="AO72" s="172">
        <f>Inpatient!AM32-Inpatient!AN32</f>
        <v>209710.93537600001</v>
      </c>
      <c r="AP72" s="158">
        <f>Inpatient!AO32-Inpatient!AP32</f>
        <v>7888.0654782476195</v>
      </c>
      <c r="AQ72" s="158">
        <f>SQRT(Inpatient!AQ32^2+Inpatient!AR32^2)</f>
        <v>26738.091909920113</v>
      </c>
      <c r="AR72" s="164">
        <f>(Inpatient!$AG32-1)*Inpatient!$AQ32+(Inpatient!$AH32-1)*Inpatient!$AR32/(Inpatient!$AG32+Inpatient!$AH32-2)</f>
        <v>5935422.1592273321</v>
      </c>
      <c r="AS72" s="124">
        <f>ABS(AP72)/SQRT(Inpatient!AQ32^2/Inpatient!AE32+Inpatient!AR32^2/Inpatient!AF32)</f>
        <v>1.3515759193055996</v>
      </c>
      <c r="AT72" s="124">
        <f>(Inpatient!AQ32^2/Inpatient!$AG32+Inpatient!AR32^2/Inpatient!$AH32)/((Inpatient!AQ32^2/Inpatient!$AG32)/(Inpatient!$AG32-1)+(Inpatient!AR32^2/Inpatient!$AH32)/(Inpatient!$AH32-1))</f>
        <v>219.46223482474073</v>
      </c>
      <c r="AU72" s="124">
        <f t="shared" si="27"/>
        <v>1.9708553671594748</v>
      </c>
      <c r="AV72" s="178">
        <f t="shared" si="28"/>
        <v>0.17790541307132995</v>
      </c>
    </row>
    <row r="73" spans="1:48" x14ac:dyDescent="0.25">
      <c r="A73" s="261"/>
      <c r="B73" s="5" t="s">
        <v>1</v>
      </c>
      <c r="C73" s="128">
        <f>Inpatient!C33/IncidenceComplications!G30</f>
        <v>1.1543327008222644E-2</v>
      </c>
      <c r="D73" s="128"/>
      <c r="Q73" s="167">
        <f>Inpatient!S33-Inpatient!T33</f>
        <v>5</v>
      </c>
      <c r="R73" s="124">
        <f>Inpatient!U33-Inpatient!V33</f>
        <v>8.3333333333333037E-2</v>
      </c>
      <c r="S73" s="124">
        <f>SQRT(Inpatient!W33^2+Inpatient!X33^2)</f>
        <v>2.1213203435596402</v>
      </c>
      <c r="T73" s="167">
        <f>(Inpatient!$S33-1)*Inpatient!$W33+(Inpatient!$T33-1)*Inpatient!$X33/(Inpatient!$S33+Inpatient!$T33-2)</f>
        <v>38.183766184073519</v>
      </c>
      <c r="U73" s="124">
        <f>IF(T73&gt;0,ABS(R73)/(SQRT((Inpatient!W33/Inpatient!$S33)+(Inpatient!X33/Inpatient!$T33))),"n.a.")</f>
        <v>0.24939768965323608</v>
      </c>
      <c r="V73" s="124">
        <f>(Inpatient!W33^2/Inpatient!Q33+Inpatient!X33^2/Inpatient!R33)/((Inpatient!W33^2/Inpatient!Q33)/(Inpatient!Q33-1)+(Inpatient!X33^2/Inpatient!R33)/(Inpatient!R33-1))</f>
        <v>3</v>
      </c>
      <c r="W73" s="124">
        <f t="shared" si="21"/>
        <v>3.1824463052837091</v>
      </c>
      <c r="X73" s="124">
        <f t="shared" si="22"/>
        <v>0.81915413815479865</v>
      </c>
      <c r="Y73" s="167">
        <f>Inpatient!Y33-Inpatient!Z33</f>
        <v>3002.4582310000005</v>
      </c>
      <c r="Z73" s="124">
        <f>Inpatient!AA33-Inpatient!AB33</f>
        <v>299.23548083333344</v>
      </c>
      <c r="AA73" s="124">
        <f>SQRT(Inpatient!AC33^2+Inpatient!AD33^2)</f>
        <v>147.51613303009901</v>
      </c>
      <c r="AB73" s="167">
        <f>(Inpatient!$S33-1)*Inpatient!$AC33+(Inpatient!$T33-1)*Inpatient!$AD33/(Inpatient!$S33+Inpatient!$T33-2)</f>
        <v>2655.290394541782</v>
      </c>
      <c r="AC73" s="124">
        <f>IF(AB73&gt;0,ABS(Z73)/(AB73*SQRT((1/Inpatient!$S33)+(1/Inpatient!$T33))),"n.a.")</f>
        <v>0.31995206036518514</v>
      </c>
      <c r="AD73" s="124">
        <f>(Inpatient!AC33^2/Inpatient!$S33+Inpatient!AD33^2/Inpatient!$T33)/((Inpatient!AC33^2/Inpatient!$S33)/(Inpatient!$S33-1)+(Inpatient!AD33^2/Inpatient!$T33)/(Inpatient!$T33-1))</f>
        <v>18</v>
      </c>
      <c r="AE73" s="124">
        <f t="shared" si="23"/>
        <v>2.1009220402410378</v>
      </c>
      <c r="AF73" s="124">
        <f t="shared" si="24"/>
        <v>0.75268868206897177</v>
      </c>
      <c r="AG73" s="167">
        <f>Inpatient!AG33-Inpatient!AH33</f>
        <v>311</v>
      </c>
      <c r="AH73" s="124">
        <f>Inpatient!AI33-Inpatient!AJ33</f>
        <v>0.58881578947368407</v>
      </c>
      <c r="AI73" s="124">
        <f>SQRT(Inpatient!AK33^2+Inpatient!AL33^2)</f>
        <v>3.3747289266590674</v>
      </c>
      <c r="AJ73" s="124">
        <f>(Inpatient!$AG33-1)*Inpatient!$AK33+(Inpatient!$AH33-1)*Inpatient!$AL33/(Inpatient!$AG33+Inpatient!$AH33-2)</f>
        <v>1052.3653024995749</v>
      </c>
      <c r="AK73" s="124">
        <f>ABS(AH73)/SQRT((Inpatient!AK33/Inpatient!$AG33)+(Inpatient!AL33/Inpatient!$AH33))</f>
        <v>3.1676185382083881</v>
      </c>
      <c r="AL73" s="124">
        <f>(Inpatient!AK33^2/Inpatient!$AG33+Inpatient!AL33^2/Inpatient!$AH33)/((Inpatient!AK33^2/Inpatient!$AG33)/(Inpatient!$AG33-1)+(Inpatient!AL33^2/Inpatient!$AH33)/(Inpatient!$AH33-1))</f>
        <v>90.122238585364983</v>
      </c>
      <c r="AM73" s="124">
        <f t="shared" si="25"/>
        <v>1.986674540703772</v>
      </c>
      <c r="AN73" s="124">
        <f t="shared" si="26"/>
        <v>2.0992878634289169E-3</v>
      </c>
      <c r="AO73" s="172">
        <f>Inpatient!AM33-Inpatient!AN33</f>
        <v>174026.92746099998</v>
      </c>
      <c r="AP73" s="158">
        <f>Inpatient!AO33-Inpatient!AP33</f>
        <v>321.27003159210517</v>
      </c>
      <c r="AQ73" s="158">
        <f>SQRT(Inpatient!AQ33^2+Inpatient!AR33^2)</f>
        <v>963.91069135124553</v>
      </c>
      <c r="AR73" s="164">
        <f>(Inpatient!$AG33-1)*Inpatient!$AQ33+(Inpatient!$AH33-1)*Inpatient!$AR33/(Inpatient!$AG33+Inpatient!$AH33-2)</f>
        <v>363664.61642111104</v>
      </c>
      <c r="AS73" s="124">
        <f>ABS(AP73)/SQRT(Inpatient!AQ33^2/Inpatient!AE33+Inpatient!AR33^2/Inpatient!AF33)</f>
        <v>2.8046747495293913</v>
      </c>
      <c r="AT73" s="124">
        <f>(Inpatient!AQ33^2/Inpatient!$AG33+Inpatient!AR33^2/Inpatient!$AH33)/((Inpatient!AQ33^2/Inpatient!$AG33)/(Inpatient!$AG33-1)+(Inpatient!AR33^2/Inpatient!$AH33)/(Inpatient!$AH33-1))</f>
        <v>266.37511469397168</v>
      </c>
      <c r="AU73" s="124">
        <f t="shared" si="27"/>
        <v>1.968922324141456</v>
      </c>
      <c r="AV73" s="178">
        <f t="shared" si="28"/>
        <v>5.4082308438307778E-3</v>
      </c>
    </row>
    <row r="74" spans="1:48" x14ac:dyDescent="0.25">
      <c r="A74" s="261"/>
      <c r="B74" s="5" t="s">
        <v>2</v>
      </c>
      <c r="C74" s="128">
        <f>Inpatient!C34/IncidenceComplications!G31</f>
        <v>8.4362139917695481E-3</v>
      </c>
      <c r="D74" s="128"/>
      <c r="Q74" s="167">
        <f>Inpatient!S34-Inpatient!T34</f>
        <v>-2</v>
      </c>
      <c r="R74" s="124">
        <f>Inpatient!U34-Inpatient!V34</f>
        <v>4</v>
      </c>
      <c r="S74" s="124">
        <f>SQRT(Inpatient!W34^2+Inpatient!X34^2)</f>
        <v>0</v>
      </c>
      <c r="T74" s="167">
        <f>(Inpatient!$S34-1)*Inpatient!$W34+(Inpatient!$T34-1)*Inpatient!$X34/(Inpatient!$S34+Inpatient!$T34-2)</f>
        <v>0</v>
      </c>
      <c r="U74" s="124" t="str">
        <f>IF(T74&gt;0,ABS(R74)/(SQRT((Inpatient!W34/Inpatient!$S34)+(Inpatient!X34/Inpatient!$T34))),"n.a.")</f>
        <v>n.a.</v>
      </c>
      <c r="V74" s="124" t="e">
        <f>(Inpatient!W34^2/Inpatient!Q34+Inpatient!X34^2/Inpatient!R34)/((Inpatient!W34^2/Inpatient!Q34)/(Inpatient!Q34-1)+(Inpatient!X34^2/Inpatient!R34)/(Inpatient!R34-1))</f>
        <v>#DIV/0!</v>
      </c>
      <c r="W74" s="124" t="e">
        <f t="shared" si="21"/>
        <v>#DIV/0!</v>
      </c>
      <c r="X74" s="124" t="e">
        <f t="shared" si="22"/>
        <v>#VALUE!</v>
      </c>
      <c r="Y74" s="167">
        <f>Inpatient!Y34-Inpatient!Z34</f>
        <v>-6320.1244750000005</v>
      </c>
      <c r="Z74" s="124">
        <f>Inpatient!AA34-Inpatient!AB34</f>
        <v>-1107.7655263333336</v>
      </c>
      <c r="AA74" s="124">
        <f>SQRT(Inpatient!AC34^2+Inpatient!AD34^2)</f>
        <v>1161.4162052327199</v>
      </c>
      <c r="AB74" s="167">
        <f>(Inpatient!$S34-1)*Inpatient!$AC34+(Inpatient!$T34-1)*Inpatient!$AD34/(Inpatient!$S34+Inpatient!$T34-2)</f>
        <v>663.66640299012568</v>
      </c>
      <c r="AC74" s="124">
        <f>IF(AB74&gt;0,ABS(Z74)/(AB74*SQRT((1/Inpatient!$S34)+(1/Inpatient!$T34))),"n.a.")</f>
        <v>3.3121370319978896</v>
      </c>
      <c r="AD74" s="124">
        <f>(Inpatient!AC34^2/Inpatient!$S34+Inpatient!AD34^2/Inpatient!$T34)/((Inpatient!AC34^2/Inpatient!$S34)/(Inpatient!$S34-1)+(Inpatient!AD34^2/Inpatient!$T34)/(Inpatient!$T34-1))</f>
        <v>8</v>
      </c>
      <c r="AE74" s="124">
        <f t="shared" si="23"/>
        <v>2.3060041352041671</v>
      </c>
      <c r="AF74" s="124">
        <f t="shared" si="24"/>
        <v>1.0664207917894668E-2</v>
      </c>
      <c r="AG74" s="167">
        <f>Inpatient!AG34-Inpatient!AH34</f>
        <v>109</v>
      </c>
      <c r="AH74" s="124">
        <f>Inpatient!AI34-Inpatient!AJ34</f>
        <v>2.1547619047619051</v>
      </c>
      <c r="AI74" s="124">
        <f>SQRT(Inpatient!AK34^2+Inpatient!AL34^2)</f>
        <v>4.1772880496484133</v>
      </c>
      <c r="AJ74" s="124">
        <f>(Inpatient!$AG34-1)*Inpatient!$AK34+(Inpatient!$AH34-1)*Inpatient!$AL34/(Inpatient!$AG34+Inpatient!$AH34-2)</f>
        <v>493.90443787741731</v>
      </c>
      <c r="AK74" s="124">
        <f>ABS(AH74)/SQRT((Inpatient!AK34/Inpatient!$AG34)+(Inpatient!AL34/Inpatient!$AH34))</f>
        <v>6.5159765458189227</v>
      </c>
      <c r="AL74" s="124">
        <f>(Inpatient!AK34^2/Inpatient!$AG34+Inpatient!AL34^2/Inpatient!$AH34)/((Inpatient!AK34^2/Inpatient!$AG34)/(Inpatient!$AG34-1)+(Inpatient!AL34^2/Inpatient!$AH34)/(Inpatient!$AH34-1))</f>
        <v>29.552172528152028</v>
      </c>
      <c r="AM74" s="124">
        <f t="shared" si="25"/>
        <v>2.0452296421327048</v>
      </c>
      <c r="AN74" s="124">
        <f t="shared" si="26"/>
        <v>3.9080511894306167E-7</v>
      </c>
      <c r="AO74" s="172">
        <f>Inpatient!AM34-Inpatient!AN34</f>
        <v>41266.801590999996</v>
      </c>
      <c r="AP74" s="158">
        <f>Inpatient!AO34-Inpatient!AP34</f>
        <v>52.233586273809124</v>
      </c>
      <c r="AQ74" s="158">
        <f>SQRT(Inpatient!AQ34^2+Inpatient!AR34^2)</f>
        <v>623.03436910499272</v>
      </c>
      <c r="AR74" s="164">
        <f>(Inpatient!$AG34-1)*Inpatient!$AQ34+(Inpatient!$AH34-1)*Inpatient!$AR34/(Inpatient!$AG34+Inpatient!$AH34-2)</f>
        <v>76522.599540194016</v>
      </c>
      <c r="AS74" s="124">
        <f>ABS(AP74)/SQRT(Inpatient!AQ34^2/Inpatient!AE34+Inpatient!AR34^2/Inpatient!AF34)</f>
        <v>0.38178474631681147</v>
      </c>
      <c r="AT74" s="124">
        <f>(Inpatient!AQ34^2/Inpatient!$AG34+Inpatient!AR34^2/Inpatient!$AH34)/((Inpatient!AQ34^2/Inpatient!$AG34)/(Inpatient!$AG34-1)+(Inpatient!AR34^2/Inpatient!$AH34)/(Inpatient!$AH34-1))</f>
        <v>103.58212992213763</v>
      </c>
      <c r="AU74" s="124">
        <f t="shared" si="27"/>
        <v>1.9832641447734605</v>
      </c>
      <c r="AV74" s="178">
        <f t="shared" si="28"/>
        <v>0.7034075442603227</v>
      </c>
    </row>
    <row r="75" spans="1:48" x14ac:dyDescent="0.25">
      <c r="A75" s="261"/>
      <c r="B75" s="5" t="s">
        <v>3</v>
      </c>
      <c r="C75" s="128">
        <f>Inpatient!C35/IncidenceComplications!G32</f>
        <v>4.9970255800118974E-3</v>
      </c>
      <c r="D75" s="128"/>
      <c r="Q75" s="167">
        <f>Inpatient!S35-Inpatient!T35</f>
        <v>3</v>
      </c>
      <c r="R75" s="124">
        <f>Inpatient!U35-Inpatient!V35</f>
        <v>3</v>
      </c>
      <c r="S75" s="124">
        <f>SQRT(Inpatient!W35^2+Inpatient!X35^2)</f>
        <v>0</v>
      </c>
      <c r="T75" s="167">
        <f>(Inpatient!$S35-1)*Inpatient!$W35+(Inpatient!$T35-1)*Inpatient!$X35/(Inpatient!$S35+Inpatient!$T35-2)</f>
        <v>0</v>
      </c>
      <c r="U75" s="124" t="str">
        <f>IF(T75&gt;0,ABS(R75)/(SQRT((Inpatient!W35/Inpatient!$S35)+(Inpatient!X35/Inpatient!$T35))),"n.a.")</f>
        <v>n.a.</v>
      </c>
      <c r="V75" s="124" t="e">
        <f>(Inpatient!W35^2/Inpatient!Q35+Inpatient!X35^2/Inpatient!R35)/((Inpatient!W35^2/Inpatient!Q35)/(Inpatient!Q35-1)+(Inpatient!X35^2/Inpatient!R35)/(Inpatient!R35-1))</f>
        <v>#DIV/0!</v>
      </c>
      <c r="W75" s="124" t="e">
        <f t="shared" si="21"/>
        <v>#DIV/0!</v>
      </c>
      <c r="X75" s="124" t="e">
        <f t="shared" si="22"/>
        <v>#VALUE!</v>
      </c>
      <c r="Y75" s="167">
        <f>Inpatient!Y35-Inpatient!Z35</f>
        <v>1292.1868079999999</v>
      </c>
      <c r="Z75" s="124">
        <f>Inpatient!AA35-Inpatient!AB35</f>
        <v>0</v>
      </c>
      <c r="AA75" s="124">
        <f>SQRT(Inpatient!AC35^2+Inpatient!AD35^2)</f>
        <v>0</v>
      </c>
      <c r="AB75" s="167">
        <f>(Inpatient!$S35-1)*Inpatient!$AC35+(Inpatient!$T35-1)*Inpatient!$AD35/(Inpatient!$S35+Inpatient!$T35-2)</f>
        <v>0</v>
      </c>
      <c r="AC75" s="124" t="str">
        <f>IF(AB75&gt;0,ABS(Z75)/(AB75*SQRT((1/Inpatient!$S35)+(1/Inpatient!$T35))),"n.a.")</f>
        <v>n.a.</v>
      </c>
      <c r="AD75" s="124" t="e">
        <f>(Inpatient!AC35^2/Inpatient!$S35+Inpatient!AD35^2/Inpatient!$T35)/((Inpatient!AC35^2/Inpatient!$S35)/(Inpatient!$S35-1)+(Inpatient!AD35^2/Inpatient!$T35)/(Inpatient!$T35-1))</f>
        <v>#DIV/0!</v>
      </c>
      <c r="AE75" s="124" t="e">
        <f t="shared" si="23"/>
        <v>#DIV/0!</v>
      </c>
      <c r="AF75" s="124" t="e">
        <f t="shared" si="24"/>
        <v>#VALUE!</v>
      </c>
      <c r="AG75" s="167">
        <f>Inpatient!AG35-Inpatient!AH35</f>
        <v>89</v>
      </c>
      <c r="AH75" s="124">
        <f>Inpatient!AI35-Inpatient!AJ35</f>
        <v>6.3571428571428568</v>
      </c>
      <c r="AI75" s="124">
        <f>SQRT(Inpatient!AK35^2+Inpatient!AL35^2)</f>
        <v>2.726414006223802</v>
      </c>
      <c r="AJ75" s="124">
        <f>(Inpatient!$AG35-1)*Inpatient!$AK35+(Inpatient!$AH35-1)*Inpatient!$AL35/(Inpatient!$AG35+Inpatient!$AH35-2)</f>
        <v>239.92443254769458</v>
      </c>
      <c r="AK75" s="124" t="e">
        <f>ABS(AH75)/SQRT((Inpatient!AK35/Inpatient!$AG35)+(Inpatient!AL35/Inpatient!$AH35))</f>
        <v>#DIV/0!</v>
      </c>
      <c r="AL75" s="124" t="e">
        <f>(Inpatient!AK35^2/Inpatient!$AG35+Inpatient!AL35^2/Inpatient!$AH35)/((Inpatient!AK35^2/Inpatient!$AG35)/(Inpatient!$AG35-1)+(Inpatient!AL35^2/Inpatient!$AH35)/(Inpatient!$AH35-1))</f>
        <v>#DIV/0!</v>
      </c>
      <c r="AM75" s="124" t="e">
        <f t="shared" si="25"/>
        <v>#DIV/0!</v>
      </c>
      <c r="AN75" s="124" t="e">
        <f t="shared" si="26"/>
        <v>#DIV/0!</v>
      </c>
      <c r="AO75" s="172">
        <f>Inpatient!AM35-Inpatient!AN35</f>
        <v>34476.026040999997</v>
      </c>
      <c r="AP75" s="158" t="e">
        <f>Inpatient!AO35-Inpatient!AP35</f>
        <v>#VALUE!</v>
      </c>
      <c r="AQ75" s="158">
        <f>SQRT(Inpatient!AQ35^2+Inpatient!AR35^2)</f>
        <v>444.85436920148982</v>
      </c>
      <c r="AR75" s="164">
        <f>(Inpatient!$AG35-1)*Inpatient!$AQ35+(Inpatient!$AH35-1)*Inpatient!$AR35/(Inpatient!$AG35+Inpatient!$AH35-2)</f>
        <v>39147.184489731102</v>
      </c>
      <c r="AS75" s="124" t="e">
        <f>ABS(AP75)/SQRT(Inpatient!AQ35^2/Inpatient!AE35+Inpatient!AR35^2/Inpatient!AF35)</f>
        <v>#VALUE!</v>
      </c>
      <c r="AT75" s="124" t="e">
        <f>(Inpatient!AQ35^2/Inpatient!$AG35+Inpatient!AR35^2/Inpatient!$AH35)/((Inpatient!AQ35^2/Inpatient!$AG35)/(Inpatient!$AG35-1)+(Inpatient!AR35^2/Inpatient!$AH35)/(Inpatient!$AH35-1))</f>
        <v>#DIV/0!</v>
      </c>
      <c r="AU75" s="124" t="e">
        <f t="shared" si="27"/>
        <v>#DIV/0!</v>
      </c>
      <c r="AV75" s="178" t="e">
        <f t="shared" si="28"/>
        <v>#VALUE!</v>
      </c>
    </row>
    <row r="76" spans="1:48" x14ac:dyDescent="0.25">
      <c r="A76" s="261"/>
      <c r="B76" s="5" t="s">
        <v>4</v>
      </c>
      <c r="C76" s="128">
        <f>Inpatient!C36/IncidenceComplications!G33</f>
        <v>2.7535017359032682E-3</v>
      </c>
      <c r="D76" s="128"/>
      <c r="Q76" s="167">
        <f>Inpatient!S36-Inpatient!T36</f>
        <v>21</v>
      </c>
      <c r="R76" s="124">
        <f>Inpatient!U36-Inpatient!V36</f>
        <v>2.166666666666667</v>
      </c>
      <c r="S76" s="124">
        <f>SQRT(Inpatient!W36^2+Inpatient!X36^2)</f>
        <v>0.95742710775633733</v>
      </c>
      <c r="T76" s="167">
        <f>(Inpatient!$S36-1)*Inpatient!$W36+(Inpatient!$T36-1)*Inpatient!$X36/(Inpatient!$S36+Inpatient!$T36-2)</f>
        <v>22.978250586152097</v>
      </c>
      <c r="U76" s="124">
        <f>IF(T76&gt;0,ABS(R76)/(SQRT((Inpatient!W36/Inpatient!$S36)+(Inpatient!X36/Inpatient!$T36))),"n.a.")</f>
        <v>11.071570924465538</v>
      </c>
      <c r="V76" s="124">
        <f>(Inpatient!W36^2/Inpatient!Q36+Inpatient!X36^2/Inpatient!R36)/((Inpatient!W36^2/Inpatient!Q36)/(Inpatient!Q36-1)+(Inpatient!X36^2/Inpatient!R36)/(Inpatient!R36-1))</f>
        <v>5</v>
      </c>
      <c r="W76" s="124">
        <f t="shared" si="21"/>
        <v>2.570581835636315</v>
      </c>
      <c r="X76" s="124">
        <f t="shared" si="22"/>
        <v>1.0471947962966077E-4</v>
      </c>
      <c r="Y76" s="167">
        <f>Inpatient!Y36-Inpatient!Z36</f>
        <v>6370.9180939999997</v>
      </c>
      <c r="Z76" s="124">
        <f>Inpatient!AA36-Inpatient!AB36</f>
        <v>-44.656655000000001</v>
      </c>
      <c r="AA76" s="124">
        <f>SQRT(Inpatient!AC36^2+Inpatient!AD36^2)</f>
        <v>219.08544551001629</v>
      </c>
      <c r="AB76" s="167">
        <f>(Inpatient!$S36-1)*Inpatient!$AC36+(Inpatient!$T36-1)*Inpatient!$AD36/(Inpatient!$S36+Inpatient!$T36-2)</f>
        <v>5258.0506922403911</v>
      </c>
      <c r="AC76" s="124">
        <f>IF(AB76&gt;0,ABS(Z76)/(AB76*SQRT((1/Inpatient!$S36)+(1/Inpatient!$T36))),"n.a.")</f>
        <v>1.5771115832562632E-2</v>
      </c>
      <c r="AD76" s="124">
        <f>(Inpatient!AC36^2/Inpatient!$S36+Inpatient!AD36^2/Inpatient!$T36)/((Inpatient!AC36^2/Inpatient!$S36)/(Inpatient!$S36-1)+(Inpatient!AD36^2/Inpatient!$T36)/(Inpatient!$T36-1))</f>
        <v>24</v>
      </c>
      <c r="AE76" s="124">
        <f t="shared" si="23"/>
        <v>2.0638985616280254</v>
      </c>
      <c r="AF76" s="124">
        <f t="shared" si="24"/>
        <v>0.98754736854309799</v>
      </c>
      <c r="AG76" s="167">
        <f>Inpatient!AG36-Inpatient!AH36</f>
        <v>181</v>
      </c>
      <c r="AH76" s="124">
        <f>Inpatient!AI36-Inpatient!AJ36</f>
        <v>3.4333333333333336</v>
      </c>
      <c r="AI76" s="124">
        <f>SQRT(Inpatient!AK36^2+Inpatient!AL36^2)</f>
        <v>4.65340690292562</v>
      </c>
      <c r="AJ76" s="124">
        <f>(Inpatient!$AG36-1)*Inpatient!$AK36+(Inpatient!$AH36-1)*Inpatient!$AL36/(Inpatient!$AG36+Inpatient!$AH36-2)</f>
        <v>683.15910192328374</v>
      </c>
      <c r="AK76" s="124">
        <f>ABS(AH76)/SQRT((Inpatient!AK36/Inpatient!$AG36)+(Inpatient!AL36/Inpatient!$AH36))</f>
        <v>6.626729685252017</v>
      </c>
      <c r="AL76" s="124">
        <f>(Inpatient!AK36^2/Inpatient!$AG36+Inpatient!AL36^2/Inpatient!$AH36)/((Inpatient!AK36^2/Inpatient!$AG36)/(Inpatient!$AG36-1)+(Inpatient!AL36^2/Inpatient!$AH36)/(Inpatient!$AH36-1))</f>
        <v>11.902020225248553</v>
      </c>
      <c r="AM76" s="124">
        <f t="shared" si="25"/>
        <v>2.2009851600916384</v>
      </c>
      <c r="AN76" s="124">
        <f t="shared" si="26"/>
        <v>3.7264766260981872E-5</v>
      </c>
      <c r="AO76" s="172">
        <f>Inpatient!AM36-Inpatient!AN36</f>
        <v>66231.580508999992</v>
      </c>
      <c r="AP76" s="158">
        <f>Inpatient!AO36-Inpatient!AP36</f>
        <v>521.05438763333314</v>
      </c>
      <c r="AQ76" s="158">
        <f>SQRT(Inpatient!AQ36^2+Inpatient!AR36^2)</f>
        <v>1250.794596636071</v>
      </c>
      <c r="AR76" s="164">
        <f>(Inpatient!$AG36-1)*Inpatient!$AQ36+(Inpatient!$AH36-1)*Inpatient!$AR36/(Inpatient!$AG36+Inpatient!$AH36-2)</f>
        <v>220490.57649450813</v>
      </c>
      <c r="AS76" s="124">
        <f>ABS(AP76)/SQRT(Inpatient!AQ36^2/Inpatient!AE36+Inpatient!AR36^2/Inpatient!AF36)</f>
        <v>1.6045564654480478</v>
      </c>
      <c r="AT76" s="124">
        <f>(Inpatient!AQ36^2/Inpatient!$AG36+Inpatient!AR36^2/Inpatient!$AH36)/((Inpatient!AQ36^2/Inpatient!$AG36)/(Inpatient!$AG36-1)+(Inpatient!AR36^2/Inpatient!$AH36)/(Inpatient!$AH36-1))</f>
        <v>14.390746080926606</v>
      </c>
      <c r="AU76" s="124">
        <f t="shared" si="27"/>
        <v>2.1447866879178044</v>
      </c>
      <c r="AV76" s="178">
        <f t="shared" si="28"/>
        <v>0.13090553144955691</v>
      </c>
    </row>
    <row r="77" spans="1:48" x14ac:dyDescent="0.25">
      <c r="A77" s="261"/>
      <c r="B77" s="5" t="s">
        <v>5</v>
      </c>
      <c r="C77" s="128">
        <f>Inpatient!C37/IncidenceComplications!G34</f>
        <v>2.9849991146189067E-3</v>
      </c>
      <c r="D77" s="128"/>
      <c r="Q77" s="167">
        <f>Inpatient!S37-Inpatient!T37</f>
        <v>28</v>
      </c>
      <c r="R77" s="124">
        <f>Inpatient!U37-Inpatient!V37</f>
        <v>-1.0909090909090908</v>
      </c>
      <c r="S77" s="124">
        <f>SQRT(Inpatient!W37^2+Inpatient!X37^2)</f>
        <v>3.490463197533149</v>
      </c>
      <c r="T77" s="167">
        <f>(Inpatient!$S37-1)*Inpatient!$W37+(Inpatient!$T37-1)*Inpatient!$X37/(Inpatient!$S37+Inpatient!$T37-2)</f>
        <v>127.70987627104206</v>
      </c>
      <c r="U77" s="124">
        <f>IF(T77&gt;0,ABS(R77)/(SQRT((Inpatient!W37/Inpatient!$S37)+(Inpatient!X37/Inpatient!$T37))),"n.a.")</f>
        <v>2.5298623012832131</v>
      </c>
      <c r="V77" s="124">
        <f>(Inpatient!W37^2/Inpatient!Q37+Inpatient!X37^2/Inpatient!R37)/((Inpatient!W37^2/Inpatient!Q37)/(Inpatient!Q37-1)+(Inpatient!X37^2/Inpatient!R37)/(Inpatient!R37-1))</f>
        <v>3.1446377564268979</v>
      </c>
      <c r="W77" s="124">
        <f t="shared" si="21"/>
        <v>3.1824463052837091</v>
      </c>
      <c r="X77" s="124">
        <f t="shared" si="22"/>
        <v>8.5434428252299216E-2</v>
      </c>
      <c r="Y77" s="167">
        <f>Inpatient!Y37-Inpatient!Z37</f>
        <v>11113.934113000003</v>
      </c>
      <c r="Z77" s="124">
        <f>Inpatient!AA37-Inpatient!AB37</f>
        <v>-532.05754463636322</v>
      </c>
      <c r="AA77" s="124">
        <f>SQRT(Inpatient!AC37^2+Inpatient!AD37^2)</f>
        <v>1251.9033435820447</v>
      </c>
      <c r="AB77" s="167">
        <f>(Inpatient!$S37-1)*Inpatient!$AC37+(Inpatient!$T37-1)*Inpatient!$AD37/(Inpatient!$S37+Inpatient!$T37-2)</f>
        <v>40884.6757640293</v>
      </c>
      <c r="AC77" s="124">
        <f>IF(AB77&gt;0,ABS(Z77)/(AB77*SQRT((1/Inpatient!$S37)+(1/Inpatient!$T37))),"n.a.")</f>
        <v>4.3397419728660139E-2</v>
      </c>
      <c r="AD77" s="124">
        <f>(Inpatient!AC37^2/Inpatient!$S37+Inpatient!AD37^2/Inpatient!$T37)/((Inpatient!AC37^2/Inpatient!$S37)/(Inpatient!$S37-1)+(Inpatient!AD37^2/Inpatient!$T37)/(Inpatient!$T37-1))</f>
        <v>18.140288997396102</v>
      </c>
      <c r="AE77" s="124">
        <f t="shared" si="23"/>
        <v>2.1009220402410378</v>
      </c>
      <c r="AF77" s="124">
        <f t="shared" si="24"/>
        <v>0.96586253063193683</v>
      </c>
      <c r="AG77" s="167">
        <f>Inpatient!AG37-Inpatient!AH37</f>
        <v>713</v>
      </c>
      <c r="AH77" s="124">
        <f>Inpatient!AI37-Inpatient!AJ37</f>
        <v>2.1632183908045981</v>
      </c>
      <c r="AI77" s="124">
        <f>SQRT(Inpatient!AK37^2+Inpatient!AL37^2)</f>
        <v>10.073881132705033</v>
      </c>
      <c r="AJ77" s="124">
        <f>(Inpatient!$AG37-1)*Inpatient!$AK37+(Inpatient!$AH37-1)*Inpatient!$AL37/(Inpatient!$AG37+Inpatient!$AH37-2)</f>
        <v>7386.5464160263982</v>
      </c>
      <c r="AK77" s="124">
        <f>ABS(AH77)/SQRT((Inpatient!AK37/Inpatient!$AG37)+(Inpatient!AL37/Inpatient!$AH37))</f>
        <v>8.376279229850466</v>
      </c>
      <c r="AL77" s="124">
        <f>(Inpatient!AK37^2/Inpatient!$AG37+Inpatient!AL37^2/Inpatient!$AH37)/((Inpatient!AK37^2/Inpatient!$AG37)/(Inpatient!$AG37-1)+(Inpatient!AL37^2/Inpatient!$AH37)/(Inpatient!$AH37-1))</f>
        <v>71.664078864700087</v>
      </c>
      <c r="AM77" s="124">
        <f t="shared" si="25"/>
        <v>1.9939433678456266</v>
      </c>
      <c r="AN77" s="124">
        <f t="shared" si="26"/>
        <v>3.3530713458517796E-12</v>
      </c>
      <c r="AO77" s="172">
        <f>Inpatient!AM37-Inpatient!AN37</f>
        <v>354216.91058500001</v>
      </c>
      <c r="AP77" s="158">
        <f>Inpatient!AO37-Inpatient!AP37</f>
        <v>1462.1670269356318</v>
      </c>
      <c r="AQ77" s="158">
        <f>SQRT(Inpatient!AQ37^2+Inpatient!AR37^2)</f>
        <v>15530.108864776437</v>
      </c>
      <c r="AR77" s="164">
        <f>(Inpatient!$AG37-1)*Inpatient!$AQ37+(Inpatient!$AH37-1)*Inpatient!$AR37/(Inpatient!$AG37+Inpatient!$AH37-2)</f>
        <v>11549273.980126873</v>
      </c>
      <c r="AS77" s="124">
        <f>ABS(AP77)/SQRT(Inpatient!AQ37^2/Inpatient!AE37+Inpatient!AR37^2/Inpatient!AF37)</f>
        <v>0.87183419715572064</v>
      </c>
      <c r="AT77" s="124">
        <f>(Inpatient!AQ37^2/Inpatient!$AG37+Inpatient!AR37^2/Inpatient!$AH37)/((Inpatient!AQ37^2/Inpatient!$AG37)/(Inpatient!$AG37-1)+(Inpatient!AR37^2/Inpatient!$AH37)/(Inpatient!$AH37-1))</f>
        <v>506.97052758613569</v>
      </c>
      <c r="AU77" s="124">
        <f t="shared" si="27"/>
        <v>1.9646633111911804</v>
      </c>
      <c r="AV77" s="178">
        <f t="shared" si="28"/>
        <v>0.38371231463825661</v>
      </c>
    </row>
    <row r="78" spans="1:48" x14ac:dyDescent="0.25">
      <c r="A78" s="261"/>
      <c r="B78" s="6" t="s">
        <v>6</v>
      </c>
      <c r="C78" s="19">
        <f>Inpatient!C38/IncidenceComplications!G35</f>
        <v>8.354128241293262E-3</v>
      </c>
      <c r="D78" s="19"/>
      <c r="Q78" s="168">
        <f>Inpatient!S38-Inpatient!T38</f>
        <v>8</v>
      </c>
      <c r="R78" s="24">
        <f>Inpatient!U38-Inpatient!V38</f>
        <v>4</v>
      </c>
      <c r="S78" s="24">
        <f>SQRT(Inpatient!W38^2+Inpatient!X38^2)</f>
        <v>0</v>
      </c>
      <c r="T78" s="168">
        <f>(Inpatient!$S38-1)*Inpatient!$W38+(Inpatient!$T38-1)*Inpatient!$X38/(Inpatient!$S38+Inpatient!$T38-2)</f>
        <v>0</v>
      </c>
      <c r="U78" s="24" t="str">
        <f>IF(T78&gt;0,ABS(R78)/(SQRT((Inpatient!W38/Inpatient!$S38)+(Inpatient!X38/Inpatient!$T38))),"n.a.")</f>
        <v>n.a.</v>
      </c>
      <c r="V78" s="24" t="e">
        <f>(Inpatient!W38^2/Inpatient!Q38+Inpatient!X38^2/Inpatient!R38)/((Inpatient!W38^2/Inpatient!Q38)/(Inpatient!Q38-1)+(Inpatient!X38^2/Inpatient!R38)/(Inpatient!R38-1))</f>
        <v>#DIV/0!</v>
      </c>
      <c r="W78" s="24" t="e">
        <f t="shared" si="21"/>
        <v>#DIV/0!</v>
      </c>
      <c r="X78" s="24" t="e">
        <f t="shared" si="22"/>
        <v>#VALUE!</v>
      </c>
      <c r="Y78" s="168">
        <f>Inpatient!Y38-Inpatient!Z38</f>
        <v>2721.49</v>
      </c>
      <c r="Z78" s="24">
        <f>Inpatient!AA38-Inpatient!AB38</f>
        <v>1360.7449999999999</v>
      </c>
      <c r="AA78" s="24">
        <f>SQRT(Inpatient!AC38^2+Inpatient!AD38^2)</f>
        <v>10.4722514293729</v>
      </c>
      <c r="AB78" s="168">
        <f>(Inpatient!$S38-1)*Inpatient!$AC38+(Inpatient!$T38-1)*Inpatient!$AD38/(Inpatient!$S38+Inpatient!$T38-2)</f>
        <v>73.305760005610296</v>
      </c>
      <c r="AC78" s="24" t="e">
        <f>IF(AB78&gt;0,ABS(Z78)/(AB78*SQRT((1/Inpatient!$S38)+(1/Inpatient!$T38))),"n.a.")</f>
        <v>#DIV/0!</v>
      </c>
      <c r="AD78" s="24" t="e">
        <f>(Inpatient!AC38^2/Inpatient!$S38+Inpatient!AD38^2/Inpatient!$T38)/((Inpatient!AC38^2/Inpatient!$S38)/(Inpatient!$S38-1)+(Inpatient!AD38^2/Inpatient!$T38)/(Inpatient!$T38-1))</f>
        <v>#DIV/0!</v>
      </c>
      <c r="AE78" s="24" t="e">
        <f t="shared" si="23"/>
        <v>#DIV/0!</v>
      </c>
      <c r="AF78" s="24" t="e">
        <f t="shared" si="24"/>
        <v>#DIV/0!</v>
      </c>
      <c r="AG78" s="168">
        <f>Inpatient!AG38-Inpatient!AH38</f>
        <v>830</v>
      </c>
      <c r="AH78" s="24">
        <f>Inpatient!AI38-Inpatient!AJ38</f>
        <v>3.5792682926829276</v>
      </c>
      <c r="AI78" s="24">
        <f>SQRT(Inpatient!AK38^2+Inpatient!AL38^2)</f>
        <v>8.76652524013444</v>
      </c>
      <c r="AJ78" s="24">
        <f>(Inpatient!$AG38-1)*Inpatient!$AK38+(Inpatient!$AH38-1)*Inpatient!$AL38/(Inpatient!$AG38+Inpatient!$AH38-2)</f>
        <v>6910.9896574392787</v>
      </c>
      <c r="AK78" s="24">
        <f>ABS(AH78)/SQRT((Inpatient!AK38/Inpatient!$AG38)+(Inpatient!AL38/Inpatient!$AH38))</f>
        <v>12.810757964312764</v>
      </c>
      <c r="AL78" s="24">
        <f>(Inpatient!AK38^2/Inpatient!$AG38+Inpatient!AL38^2/Inpatient!$AH38)/((Inpatient!AK38^2/Inpatient!$AG38)/(Inpatient!$AG38-1)+(Inpatient!AL38^2/Inpatient!$AH38)/(Inpatient!$AH38-1))</f>
        <v>69.890704018444765</v>
      </c>
      <c r="AM78" s="24">
        <f t="shared" si="25"/>
        <v>1.9949454151072357</v>
      </c>
      <c r="AN78" s="24">
        <f t="shared" si="26"/>
        <v>6.5118529284862058E-20</v>
      </c>
      <c r="AO78" s="173">
        <f>Inpatient!AM38-Inpatient!AN38</f>
        <v>325308.95173299999</v>
      </c>
      <c r="AP78" s="155">
        <f>Inpatient!AO38-Inpatient!AP38</f>
        <v>311.37582767073172</v>
      </c>
      <c r="AQ78" s="155">
        <f>SQRT(Inpatient!AQ38^2+Inpatient!AR38^2)</f>
        <v>8285.4482334896893</v>
      </c>
      <c r="AR78" s="161">
        <f>(Inpatient!$AG38-1)*Inpatient!$AQ38+(Inpatient!$AH38-1)*Inpatient!$AR38/(Inpatient!$AG38+Inpatient!$AH38-2)</f>
        <v>6253319.2818736024</v>
      </c>
      <c r="AS78" s="24">
        <f>ABS(AP78)/SQRT(Inpatient!AQ38^2/Inpatient!AE38+Inpatient!AR38^2/Inpatient!AF38)</f>
        <v>0.18052900659164176</v>
      </c>
      <c r="AT78" s="24">
        <f>(Inpatient!AQ38^2/Inpatient!$AG38+Inpatient!AR38^2/Inpatient!$AH38)/((Inpatient!AQ38^2/Inpatient!$AG38)/(Inpatient!$AG38-1)+(Inpatient!AR38^2/Inpatient!$AH38)/(Inpatient!$AH38-1))</f>
        <v>66.03648622162882</v>
      </c>
      <c r="AU78" s="24">
        <f t="shared" si="27"/>
        <v>1.996564418952312</v>
      </c>
      <c r="AV78" s="179">
        <f t="shared" si="28"/>
        <v>0.85729047743549736</v>
      </c>
    </row>
    <row r="79" spans="1:48" ht="15.75" thickBot="1" x14ac:dyDescent="0.3">
      <c r="A79" s="262"/>
      <c r="B79" s="15" t="s">
        <v>14</v>
      </c>
      <c r="C79" s="129">
        <f>Inpatient!C39/IncidenceComplications!G36</f>
        <v>4.816540293829991E-3</v>
      </c>
      <c r="D79" s="129"/>
      <c r="Q79" s="171">
        <f>Inpatient!S39-Inpatient!T39</f>
        <v>77</v>
      </c>
      <c r="R79" s="125">
        <f>Inpatient!U39-Inpatient!V39</f>
        <v>0.28526645768025105</v>
      </c>
      <c r="S79" s="125">
        <f>SQRT(Inpatient!W39^2+Inpatient!X39^2)</f>
        <v>1.823131790027678</v>
      </c>
      <c r="T79" s="171">
        <f>(Inpatient!$S39-1)*Inpatient!$W39+(Inpatient!$T39-1)*Inpatient!$X39/(Inpatient!$S39+Inpatient!$T39-2)</f>
        <v>200.95052048332846</v>
      </c>
      <c r="U79" s="125">
        <f>IF(T79&gt;0,ABS(R79)/(SQRT((Inpatient!W39/Inpatient!$S39)+(Inpatient!X39/Inpatient!$T39))),"n.a.")</f>
        <v>1.6501346297740878</v>
      </c>
      <c r="V79" s="125">
        <f>(Inpatient!W39^2/Inpatient!Q39+Inpatient!X39^2/Inpatient!R39)/((Inpatient!W39^2/Inpatient!Q39)/(Inpatient!Q39-1)+(Inpatient!X39^2/Inpatient!R39)/(Inpatient!R39-1))</f>
        <v>18.601314661331795</v>
      </c>
      <c r="W79" s="125">
        <f t="shared" si="21"/>
        <v>2.1009220402410378</v>
      </c>
      <c r="X79" s="125">
        <f t="shared" si="22"/>
        <v>0.11625592666467213</v>
      </c>
      <c r="Y79" s="171">
        <f>Inpatient!Y39-Inpatient!Z39</f>
        <v>24403.402771000001</v>
      </c>
      <c r="Z79" s="125">
        <f>Inpatient!AA39-Inpatient!AB39</f>
        <v>-451.62442606583068</v>
      </c>
      <c r="AA79" s="125">
        <f>SQRT(Inpatient!AC39^2+Inpatient!AD39^2)</f>
        <v>679.44764907178376</v>
      </c>
      <c r="AB79" s="171">
        <f>(Inpatient!$S39-1)*Inpatient!$AC39+(Inpatient!$T39-1)*Inpatient!$AD39/(Inpatient!$S39+Inpatient!$T39-2)</f>
        <v>50077.323827252476</v>
      </c>
      <c r="AC79" s="125">
        <f>ABS(Z79)/SQRT(Inpatient!AC39^2/Inpatient!Q39+Inpatient!AD39^2/Inpatient!R39)</f>
        <v>2.5301518315266756</v>
      </c>
      <c r="AD79" s="125">
        <f>(Inpatient!AC39^2/Inpatient!$Q39+Inpatient!AD39^2/Inpatient!$R39)/((Inpatient!AC39^2/Inpatient!$R39)/(Inpatient!$Q39-1)+(Inpatient!AD39^2/Inpatient!$Q39)/(Inpatient!$R39-1))</f>
        <v>20.478996396635264</v>
      </c>
      <c r="AE79" s="125">
        <f>_xlfn.T.INV.2T(0.05,AD79)</f>
        <v>2.0859634472658648</v>
      </c>
      <c r="AF79" s="36">
        <f>_xlfn.T.DIST.2T(AC79,AD79)</f>
        <v>1.9906980308026477E-2</v>
      </c>
      <c r="AG79" s="171">
        <f>Inpatient!AG39-Inpatient!AH39</f>
        <v>2431</v>
      </c>
      <c r="AH79" s="125">
        <f>Inpatient!AI39-Inpatient!AJ39</f>
        <v>2.9164868364264134</v>
      </c>
      <c r="AI79" s="125">
        <f>SQRT(Inpatient!AK39^2+Inpatient!AL39^2)</f>
        <v>8.6737379137706707</v>
      </c>
      <c r="AJ79" s="125">
        <f>(Inpatient!$AG39-1)*Inpatient!$AK39+(Inpatient!$AH39-1)*Inpatient!$AL39/(Inpatient!$AG39+Inpatient!$AH39-2)</f>
        <v>22112.467530198799</v>
      </c>
      <c r="AK79" s="125">
        <f>ABS(AH79)/SQRT((Inpatient!AK39/Inpatient!$AG39)+(Inpatient!AL39/Inpatient!$AH39))</f>
        <v>24.729409750589948</v>
      </c>
      <c r="AL79" s="125">
        <f>(Inpatient!AK39^2/Inpatient!$AG39+Inpatient!AL39^2/Inpatient!$AH39)/((Inpatient!AK39^2/Inpatient!$AG39)/(Inpatient!$AG39-1)+(Inpatient!AL39^2/Inpatient!$AH39)/(Inpatient!$AH39-1))</f>
        <v>405.24256187434156</v>
      </c>
      <c r="AM79" s="125">
        <f t="shared" si="25"/>
        <v>1.9658386906356404</v>
      </c>
      <c r="AN79" s="125">
        <f t="shared" si="26"/>
        <v>5.9457380172272421E-83</v>
      </c>
      <c r="AO79" s="176">
        <f>Inpatient!AM39-Inpatient!AN39</f>
        <v>1205238.1332960001</v>
      </c>
      <c r="AP79" s="159">
        <f>Inpatient!AO39-Inpatient!AP39</f>
        <v>1205.8051316166739</v>
      </c>
      <c r="AQ79" s="159">
        <f>SQRT(Inpatient!AQ39^2+Inpatient!AR39^2)</f>
        <v>12117.509002288143</v>
      </c>
      <c r="AR79" s="165">
        <f>(Inpatient!$AG39-1)*Inpatient!$AQ39+(Inpatient!$AH39-1)*Inpatient!$AR39/(Inpatient!$AG39+Inpatient!$AH39-2)</f>
        <v>31720761.255620174</v>
      </c>
      <c r="AS79" s="125">
        <f>ABS(AP79)/SQRT(Inpatient!AQ39^2/Inpatient!AE39+Inpatient!AR39^2/Inpatient!AF39)</f>
        <v>1.7024648924584105</v>
      </c>
      <c r="AT79" s="125">
        <f>(Inpatient!AQ39^2/Inpatient!$AG39+Inpatient!AR39^2/Inpatient!$AH39)/((Inpatient!AQ39^2/Inpatient!$AG39)/(Inpatient!$AG39-1)+(Inpatient!AR39^2/Inpatient!$AH39)/(Inpatient!$AH39-1))</f>
        <v>819.81896170197138</v>
      </c>
      <c r="AU79" s="125">
        <f>_xlfn.T.INV.2T(0.05,AT79)</f>
        <v>1.9628647431698791</v>
      </c>
      <c r="AV79" s="246">
        <f>_xlfn.T.DIST.2T(AS79,AT79)</f>
        <v>8.9047712378714838E-2</v>
      </c>
    </row>
    <row r="80" spans="1:48" ht="15.75" thickTop="1" x14ac:dyDescent="0.25"/>
    <row r="82" spans="42:42" x14ac:dyDescent="0.25">
      <c r="AP82" s="69"/>
    </row>
  </sheetData>
  <mergeCells count="56">
    <mergeCell ref="Q44:X44"/>
    <mergeCell ref="Q43:AF43"/>
    <mergeCell ref="Y44:AF44"/>
    <mergeCell ref="T45:X45"/>
    <mergeCell ref="AB45:AF45"/>
    <mergeCell ref="Q45:S45"/>
    <mergeCell ref="Y45:AA45"/>
    <mergeCell ref="A47:A54"/>
    <mergeCell ref="A55:A62"/>
    <mergeCell ref="A63:A70"/>
    <mergeCell ref="A71:B71"/>
    <mergeCell ref="A72:A79"/>
    <mergeCell ref="A43:B45"/>
    <mergeCell ref="AE3:AR3"/>
    <mergeCell ref="C4:D5"/>
    <mergeCell ref="E4:J4"/>
    <mergeCell ref="K4:P4"/>
    <mergeCell ref="E5:F5"/>
    <mergeCell ref="AI5:AJ5"/>
    <mergeCell ref="AK5:AL5"/>
    <mergeCell ref="AM5:AN5"/>
    <mergeCell ref="A32:A39"/>
    <mergeCell ref="C3:P3"/>
    <mergeCell ref="Q3:AD3"/>
    <mergeCell ref="G5:H5"/>
    <mergeCell ref="I5:J5"/>
    <mergeCell ref="K5:L5"/>
    <mergeCell ref="M5:N5"/>
    <mergeCell ref="A23:A30"/>
    <mergeCell ref="A31:B31"/>
    <mergeCell ref="AM4:AR4"/>
    <mergeCell ref="AO5:AP5"/>
    <mergeCell ref="AQ5:AR5"/>
    <mergeCell ref="AC5:AD5"/>
    <mergeCell ref="AG5:AH5"/>
    <mergeCell ref="S5:T5"/>
    <mergeCell ref="AA5:AB5"/>
    <mergeCell ref="Q4:R5"/>
    <mergeCell ref="S4:X4"/>
    <mergeCell ref="Y4:AD4"/>
    <mergeCell ref="AE4:AF5"/>
    <mergeCell ref="AG4:AL4"/>
    <mergeCell ref="A7:A14"/>
    <mergeCell ref="A15:A22"/>
    <mergeCell ref="A3:B5"/>
    <mergeCell ref="U5:V5"/>
    <mergeCell ref="W5:X5"/>
    <mergeCell ref="Y5:Z5"/>
    <mergeCell ref="O5:P5"/>
    <mergeCell ref="AG43:AV43"/>
    <mergeCell ref="AG44:AN44"/>
    <mergeCell ref="AO44:AV44"/>
    <mergeCell ref="AG45:AI45"/>
    <mergeCell ref="AO45:AQ45"/>
    <mergeCell ref="AJ45:AN45"/>
    <mergeCell ref="AR45:AV4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119"/>
  <sheetViews>
    <sheetView zoomScale="85" zoomScaleNormal="85" workbookViewId="0">
      <selection activeCell="O91" sqref="O91"/>
    </sheetView>
  </sheetViews>
  <sheetFormatPr baseColWidth="10" defaultRowHeight="15" x14ac:dyDescent="0.25"/>
  <cols>
    <col min="11" max="12" width="13.140625" bestFit="1" customWidth="1"/>
    <col min="13" max="13" width="12.140625" bestFit="1" customWidth="1"/>
    <col min="39" max="40" width="13.140625" bestFit="1" customWidth="1"/>
  </cols>
  <sheetData>
    <row r="3" spans="1:44" ht="15" customHeight="1" x14ac:dyDescent="0.25">
      <c r="A3" s="261" t="s">
        <v>69</v>
      </c>
      <c r="B3" s="269"/>
      <c r="C3" s="255" t="s">
        <v>34</v>
      </c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65"/>
      <c r="Q3" s="264" t="s">
        <v>22</v>
      </c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65"/>
      <c r="AE3" s="255" t="s">
        <v>23</v>
      </c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65"/>
    </row>
    <row r="4" spans="1:44" x14ac:dyDescent="0.25">
      <c r="A4" s="261"/>
      <c r="B4" s="269"/>
      <c r="C4" s="272" t="s">
        <v>39</v>
      </c>
      <c r="D4" s="271"/>
      <c r="E4" s="255" t="s">
        <v>29</v>
      </c>
      <c r="F4" s="255"/>
      <c r="G4" s="255"/>
      <c r="H4" s="255"/>
      <c r="I4" s="255"/>
      <c r="J4" s="255"/>
      <c r="K4" s="255" t="s">
        <v>30</v>
      </c>
      <c r="L4" s="255"/>
      <c r="M4" s="255"/>
      <c r="N4" s="255"/>
      <c r="O4" s="255"/>
      <c r="P4" s="255"/>
      <c r="Q4" s="270" t="s">
        <v>39</v>
      </c>
      <c r="R4" s="271"/>
      <c r="S4" s="255" t="s">
        <v>29</v>
      </c>
      <c r="T4" s="255"/>
      <c r="U4" s="255"/>
      <c r="V4" s="255"/>
      <c r="W4" s="255"/>
      <c r="X4" s="255"/>
      <c r="Y4" s="255" t="s">
        <v>30</v>
      </c>
      <c r="Z4" s="255"/>
      <c r="AA4" s="255"/>
      <c r="AB4" s="255"/>
      <c r="AC4" s="255"/>
      <c r="AD4" s="255"/>
      <c r="AE4" s="270" t="s">
        <v>39</v>
      </c>
      <c r="AF4" s="271"/>
      <c r="AG4" s="255" t="s">
        <v>29</v>
      </c>
      <c r="AH4" s="255"/>
      <c r="AI4" s="255"/>
      <c r="AJ4" s="255"/>
      <c r="AK4" s="255"/>
      <c r="AL4" s="255"/>
      <c r="AM4" s="255" t="s">
        <v>30</v>
      </c>
      <c r="AN4" s="255"/>
      <c r="AO4" s="255"/>
      <c r="AP4" s="255"/>
      <c r="AQ4" s="255"/>
      <c r="AR4" s="265"/>
    </row>
    <row r="5" spans="1:44" x14ac:dyDescent="0.25">
      <c r="A5" s="261"/>
      <c r="B5" s="269"/>
      <c r="C5" s="272"/>
      <c r="D5" s="271"/>
      <c r="E5" s="255" t="s">
        <v>26</v>
      </c>
      <c r="F5" s="265"/>
      <c r="G5" s="264" t="s">
        <v>27</v>
      </c>
      <c r="H5" s="265"/>
      <c r="I5" s="264" t="s">
        <v>28</v>
      </c>
      <c r="J5" s="265"/>
      <c r="K5" s="264" t="s">
        <v>26</v>
      </c>
      <c r="L5" s="265"/>
      <c r="M5" s="264" t="s">
        <v>27</v>
      </c>
      <c r="N5" s="265"/>
      <c r="O5" s="264" t="s">
        <v>28</v>
      </c>
      <c r="P5" s="255"/>
      <c r="Q5" s="270"/>
      <c r="R5" s="271"/>
      <c r="S5" s="255" t="s">
        <v>26</v>
      </c>
      <c r="T5" s="265"/>
      <c r="U5" s="264" t="s">
        <v>27</v>
      </c>
      <c r="V5" s="265"/>
      <c r="W5" s="264" t="s">
        <v>28</v>
      </c>
      <c r="X5" s="265"/>
      <c r="Y5" s="264" t="s">
        <v>26</v>
      </c>
      <c r="Z5" s="265"/>
      <c r="AA5" s="264" t="s">
        <v>27</v>
      </c>
      <c r="AB5" s="265"/>
      <c r="AC5" s="264" t="s">
        <v>28</v>
      </c>
      <c r="AD5" s="255"/>
      <c r="AE5" s="270"/>
      <c r="AF5" s="271"/>
      <c r="AG5" s="255" t="s">
        <v>26</v>
      </c>
      <c r="AH5" s="265"/>
      <c r="AI5" s="264" t="s">
        <v>27</v>
      </c>
      <c r="AJ5" s="265"/>
      <c r="AK5" s="264" t="s">
        <v>28</v>
      </c>
      <c r="AL5" s="265"/>
      <c r="AM5" s="264" t="s">
        <v>26</v>
      </c>
      <c r="AN5" s="265"/>
      <c r="AO5" s="264" t="s">
        <v>27</v>
      </c>
      <c r="AP5" s="265"/>
      <c r="AQ5" s="264" t="s">
        <v>28</v>
      </c>
      <c r="AR5" s="265"/>
    </row>
    <row r="6" spans="1:44" x14ac:dyDescent="0.25">
      <c r="A6" s="6" t="s">
        <v>7</v>
      </c>
      <c r="B6" s="53" t="s">
        <v>8</v>
      </c>
      <c r="C6" s="6" t="s">
        <v>24</v>
      </c>
      <c r="D6" s="6" t="s">
        <v>25</v>
      </c>
      <c r="E6" s="8" t="s">
        <v>24</v>
      </c>
      <c r="F6" s="6" t="s">
        <v>25</v>
      </c>
      <c r="G6" s="8" t="s">
        <v>24</v>
      </c>
      <c r="H6" s="6" t="s">
        <v>25</v>
      </c>
      <c r="I6" s="8" t="s">
        <v>24</v>
      </c>
      <c r="J6" s="6" t="s">
        <v>25</v>
      </c>
      <c r="K6" s="8" t="s">
        <v>24</v>
      </c>
      <c r="L6" s="6" t="s">
        <v>25</v>
      </c>
      <c r="M6" s="8" t="s">
        <v>24</v>
      </c>
      <c r="N6" s="6" t="s">
        <v>25</v>
      </c>
      <c r="O6" s="8" t="s">
        <v>24</v>
      </c>
      <c r="P6" s="6" t="s">
        <v>25</v>
      </c>
      <c r="Q6" s="8" t="s">
        <v>24</v>
      </c>
      <c r="R6" s="53" t="s">
        <v>25</v>
      </c>
      <c r="S6" s="8" t="s">
        <v>24</v>
      </c>
      <c r="T6" s="6" t="s">
        <v>25</v>
      </c>
      <c r="U6" s="8" t="s">
        <v>24</v>
      </c>
      <c r="V6" s="6" t="s">
        <v>25</v>
      </c>
      <c r="W6" s="8" t="s">
        <v>24</v>
      </c>
      <c r="X6" s="6" t="s">
        <v>25</v>
      </c>
      <c r="Y6" s="8" t="s">
        <v>24</v>
      </c>
      <c r="Z6" s="6" t="s">
        <v>25</v>
      </c>
      <c r="AA6" s="8" t="s">
        <v>24</v>
      </c>
      <c r="AB6" s="6" t="s">
        <v>25</v>
      </c>
      <c r="AC6" s="8" t="s">
        <v>24</v>
      </c>
      <c r="AD6" s="6" t="s">
        <v>25</v>
      </c>
      <c r="AE6" s="8" t="s">
        <v>24</v>
      </c>
      <c r="AF6" s="53" t="s">
        <v>25</v>
      </c>
      <c r="AG6" s="8" t="s">
        <v>24</v>
      </c>
      <c r="AH6" s="6" t="s">
        <v>25</v>
      </c>
      <c r="AI6" s="8" t="s">
        <v>24</v>
      </c>
      <c r="AJ6" s="6" t="s">
        <v>25</v>
      </c>
      <c r="AK6" s="8" t="s">
        <v>24</v>
      </c>
      <c r="AL6" s="6" t="s">
        <v>25</v>
      </c>
      <c r="AM6" s="8" t="s">
        <v>24</v>
      </c>
      <c r="AN6" s="6" t="s">
        <v>25</v>
      </c>
      <c r="AO6" s="8" t="s">
        <v>24</v>
      </c>
      <c r="AP6" s="6" t="s">
        <v>25</v>
      </c>
      <c r="AQ6" s="8" t="s">
        <v>24</v>
      </c>
      <c r="AR6" s="53" t="s">
        <v>25</v>
      </c>
    </row>
    <row r="7" spans="1:44" x14ac:dyDescent="0.25">
      <c r="A7" s="261">
        <v>2012</v>
      </c>
      <c r="B7" s="5" t="s">
        <v>0</v>
      </c>
      <c r="C7" s="2">
        <v>476</v>
      </c>
      <c r="D7">
        <v>443</v>
      </c>
      <c r="E7" s="3">
        <v>1707</v>
      </c>
      <c r="F7" s="9">
        <v>1224</v>
      </c>
      <c r="G7" s="37">
        <f>E7/IncidenceComplications!$G4</f>
        <v>3.5861344537815127</v>
      </c>
      <c r="H7" s="37">
        <f>F7/IncidenceComplications!$G4</f>
        <v>2.5714285714285716</v>
      </c>
      <c r="I7" s="37">
        <v>2.0164943459249498</v>
      </c>
      <c r="J7" s="37">
        <v>1.82645554274503</v>
      </c>
      <c r="K7" s="54">
        <v>116787.497881731</v>
      </c>
      <c r="L7" s="51">
        <v>87281.703383434593</v>
      </c>
      <c r="M7" s="69">
        <f>K7/IncidenceComplications!$G4</f>
        <v>245.35188630615758</v>
      </c>
      <c r="N7" s="69">
        <f>L7/IncidenceComplications!$G4</f>
        <v>183.36492307444243</v>
      </c>
      <c r="O7" s="51">
        <v>310.356516007013</v>
      </c>
      <c r="P7" s="51">
        <v>134.51615924640899</v>
      </c>
      <c r="Q7" s="2">
        <v>132</v>
      </c>
      <c r="R7" s="102">
        <v>125</v>
      </c>
      <c r="S7" s="2">
        <v>571</v>
      </c>
      <c r="T7" s="5">
        <v>343</v>
      </c>
      <c r="U7" s="71">
        <f>S7/IncidenceComplications!M4</f>
        <v>4.3257575757575761</v>
      </c>
      <c r="V7" s="71">
        <f>T7/IncidenceComplications!M4</f>
        <v>2.5984848484848486</v>
      </c>
      <c r="W7" s="71">
        <v>2.2496690583460399</v>
      </c>
      <c r="X7" s="71">
        <v>1.71147830606616</v>
      </c>
      <c r="Y7" s="54">
        <v>39569.3361717937</v>
      </c>
      <c r="Z7" s="51">
        <v>25134.336277960501</v>
      </c>
      <c r="AA7" s="68">
        <f>Y7/IncidenceComplications!M4</f>
        <v>299.76769827116442</v>
      </c>
      <c r="AB7" s="68">
        <f>Z7/IncidenceComplications!M4</f>
        <v>190.41163846939773</v>
      </c>
      <c r="AC7" s="68">
        <v>421.00195652363601</v>
      </c>
      <c r="AD7" s="68">
        <v>140.04140382116199</v>
      </c>
      <c r="AE7" s="2">
        <v>61</v>
      </c>
      <c r="AF7" s="102">
        <v>59</v>
      </c>
      <c r="AG7" s="2">
        <v>260</v>
      </c>
      <c r="AH7" s="5">
        <v>172</v>
      </c>
      <c r="AI7" s="71">
        <f>AG7/IncidenceComplications!W4</f>
        <v>4.2622950819672134</v>
      </c>
      <c r="AJ7" s="71">
        <f>AH7/IncidenceComplications!W4</f>
        <v>2.819672131147541</v>
      </c>
      <c r="AK7" s="71">
        <v>2.5159599847391698</v>
      </c>
      <c r="AL7" s="71">
        <v>1.5864866500258901</v>
      </c>
      <c r="AM7" s="72">
        <v>21520.4109550301</v>
      </c>
      <c r="AN7" s="68">
        <v>11952.556472245</v>
      </c>
      <c r="AO7" s="68">
        <f>AM7/IncidenceComplications!W4</f>
        <v>352.79362221360822</v>
      </c>
      <c r="AP7" s="68">
        <f>AN7/IncidenceComplications!W4</f>
        <v>195.94354872532787</v>
      </c>
      <c r="AQ7" s="68">
        <v>596.47458866651198</v>
      </c>
      <c r="AR7" s="96">
        <v>116.855411771414</v>
      </c>
    </row>
    <row r="8" spans="1:44" x14ac:dyDescent="0.25">
      <c r="A8" s="261"/>
      <c r="B8" s="5" t="s">
        <v>1</v>
      </c>
      <c r="C8" s="2">
        <v>1534</v>
      </c>
      <c r="D8">
        <v>1444</v>
      </c>
      <c r="E8" s="3">
        <v>5725</v>
      </c>
      <c r="F8" s="9">
        <v>4543</v>
      </c>
      <c r="G8" s="37">
        <f>E8/IncidenceComplications!$G5</f>
        <v>3.7320730117340286</v>
      </c>
      <c r="H8" s="37">
        <f>F8/IncidenceComplications!$G5</f>
        <v>2.9615384615384617</v>
      </c>
      <c r="I8" s="37">
        <v>2.3092431767703299</v>
      </c>
      <c r="J8" s="37">
        <v>2.0981666226198001</v>
      </c>
      <c r="K8" s="54">
        <v>321375.19960801897</v>
      </c>
      <c r="L8" s="51">
        <v>264252.58785613102</v>
      </c>
      <c r="M8" s="69">
        <f>K8/IncidenceComplications!$G5</f>
        <v>209.50143390353259</v>
      </c>
      <c r="N8" s="69">
        <f>L8/IncidenceComplications!$G5</f>
        <v>172.263746972706</v>
      </c>
      <c r="O8" s="51">
        <v>221.05576122852301</v>
      </c>
      <c r="P8" s="51">
        <v>253.62344304589001</v>
      </c>
      <c r="Q8" s="2">
        <v>494</v>
      </c>
      <c r="R8" s="102">
        <v>469</v>
      </c>
      <c r="S8" s="2">
        <v>2279</v>
      </c>
      <c r="T8" s="5">
        <v>1522</v>
      </c>
      <c r="U8" s="71">
        <f>S8/IncidenceComplications!M5</f>
        <v>4.6133603238866394</v>
      </c>
      <c r="V8" s="71">
        <f>T8/IncidenceComplications!M5</f>
        <v>3.0809716599190282</v>
      </c>
      <c r="W8" s="71">
        <v>2.61263578870585</v>
      </c>
      <c r="X8" s="71">
        <v>2.1565321937414899</v>
      </c>
      <c r="Y8" s="54">
        <v>128979.415595019</v>
      </c>
      <c r="Z8" s="51">
        <v>89951.229768442296</v>
      </c>
      <c r="AA8" s="68">
        <f>Y8/IncidenceComplications!M5</f>
        <v>261.09193440287248</v>
      </c>
      <c r="AB8" s="68">
        <f>Z8/IncidenceComplications!M5</f>
        <v>182.08750965271719</v>
      </c>
      <c r="AC8" s="68">
        <v>280.68073512560602</v>
      </c>
      <c r="AD8" s="68">
        <v>290.41002344595</v>
      </c>
      <c r="AE8" s="2">
        <v>158</v>
      </c>
      <c r="AF8" s="102">
        <v>154</v>
      </c>
      <c r="AG8" s="2">
        <v>732</v>
      </c>
      <c r="AH8" s="5">
        <v>512</v>
      </c>
      <c r="AI8" s="71">
        <f>AG8/IncidenceComplications!W5</f>
        <v>4.6329113924050631</v>
      </c>
      <c r="AJ8" s="71">
        <f>AH8/IncidenceComplications!W5</f>
        <v>3.240506329113924</v>
      </c>
      <c r="AK8" s="71">
        <v>2.6454008410698502</v>
      </c>
      <c r="AL8" s="71">
        <v>2.0298108843127101</v>
      </c>
      <c r="AM8" s="72">
        <v>43665.870078357002</v>
      </c>
      <c r="AN8" s="68">
        <v>30190.500389577901</v>
      </c>
      <c r="AO8" s="68">
        <f>AM8/IncidenceComplications!W5</f>
        <v>276.36626631871519</v>
      </c>
      <c r="AP8" s="68">
        <f>AN8/IncidenceComplications!W5</f>
        <v>191.07911638973354</v>
      </c>
      <c r="AQ8" s="68">
        <v>338.992544669712</v>
      </c>
      <c r="AR8" s="78">
        <v>151.165502652692</v>
      </c>
    </row>
    <row r="9" spans="1:44" x14ac:dyDescent="0.25">
      <c r="A9" s="261"/>
      <c r="B9" s="5" t="s">
        <v>2</v>
      </c>
      <c r="C9" s="2">
        <v>1101</v>
      </c>
      <c r="D9">
        <v>947</v>
      </c>
      <c r="E9" s="3">
        <v>3843</v>
      </c>
      <c r="F9" s="9">
        <v>2939</v>
      </c>
      <c r="G9" s="37">
        <f>E9/IncidenceComplications!$G6</f>
        <v>3.4872958257713247</v>
      </c>
      <c r="H9" s="37">
        <f>F9/IncidenceComplications!$G6</f>
        <v>2.6669691470054446</v>
      </c>
      <c r="I9" s="37">
        <v>2.20298743196502</v>
      </c>
      <c r="J9" s="37">
        <v>2.2690865048986102</v>
      </c>
      <c r="K9" s="54">
        <v>208163.48653742601</v>
      </c>
      <c r="L9" s="49">
        <v>177005.92732483201</v>
      </c>
      <c r="M9" s="69">
        <f>K9/IncidenceComplications!$G6</f>
        <v>188.89608578713793</v>
      </c>
      <c r="N9" s="69">
        <f>L9/IncidenceComplications!$G6</f>
        <v>160.62243858877679</v>
      </c>
      <c r="O9" s="51">
        <v>252.71312059702899</v>
      </c>
      <c r="P9" s="49">
        <v>271.61818873511697</v>
      </c>
      <c r="Q9" s="2">
        <v>168</v>
      </c>
      <c r="R9" s="102">
        <v>147</v>
      </c>
      <c r="S9" s="2">
        <v>738</v>
      </c>
      <c r="T9" s="5">
        <v>471</v>
      </c>
      <c r="U9" s="71">
        <f>S9/IncidenceComplications!M6</f>
        <v>4.3928571428571432</v>
      </c>
      <c r="V9" s="71">
        <f>T9/IncidenceComplications!M6</f>
        <v>2.8035714285714284</v>
      </c>
      <c r="W9" s="71">
        <v>2.4200651109311702</v>
      </c>
      <c r="X9" s="71">
        <v>2.3143885486557498</v>
      </c>
      <c r="Y9" s="54">
        <v>36579.0442784318</v>
      </c>
      <c r="Z9" s="51">
        <v>34511.499060428199</v>
      </c>
      <c r="AA9" s="68">
        <f>Y9/IncidenceComplications!M6</f>
        <v>217.7324064192369</v>
      </c>
      <c r="AB9" s="68">
        <f>Z9/IncidenceComplications!M6</f>
        <v>205.42558964540595</v>
      </c>
      <c r="AC9" s="68">
        <v>205.07862190321899</v>
      </c>
      <c r="AD9" s="68">
        <v>409.672528127828</v>
      </c>
      <c r="AE9" s="2">
        <v>91</v>
      </c>
      <c r="AF9" s="102">
        <v>84</v>
      </c>
      <c r="AG9" s="2">
        <v>411</v>
      </c>
      <c r="AH9" s="5">
        <v>253</v>
      </c>
      <c r="AI9" s="71">
        <f>AG9/IncidenceComplications!W6</f>
        <v>4.5164835164835164</v>
      </c>
      <c r="AJ9" s="71">
        <f>AH9/IncidenceComplications!W6</f>
        <v>2.7802197802197801</v>
      </c>
      <c r="AK9" s="71">
        <v>2.8101507961224299</v>
      </c>
      <c r="AL9" s="71">
        <v>1.98215481961872</v>
      </c>
      <c r="AM9" s="72">
        <v>18150.2531008027</v>
      </c>
      <c r="AN9" s="68">
        <v>18430.249675109801</v>
      </c>
      <c r="AO9" s="68">
        <f>AM9/IncidenceComplications!W6</f>
        <v>199.45333077805165</v>
      </c>
      <c r="AP9" s="68">
        <f>AN9/IncidenceComplications!W6</f>
        <v>202.5302162099978</v>
      </c>
      <c r="AQ9" s="68">
        <v>146.95902692718499</v>
      </c>
      <c r="AR9" s="78">
        <v>428.954876074396</v>
      </c>
    </row>
    <row r="10" spans="1:44" x14ac:dyDescent="0.25">
      <c r="A10" s="261"/>
      <c r="B10" s="5" t="s">
        <v>3</v>
      </c>
      <c r="C10" s="2">
        <v>2032</v>
      </c>
      <c r="D10">
        <v>1601</v>
      </c>
      <c r="E10" s="3">
        <v>7430</v>
      </c>
      <c r="F10" s="9">
        <v>4895</v>
      </c>
      <c r="G10" s="37">
        <f>E10/IncidenceComplications!$G7</f>
        <v>3.6564960629921259</v>
      </c>
      <c r="H10" s="37">
        <f>F10/IncidenceComplications!$G7</f>
        <v>2.4089566929133857</v>
      </c>
      <c r="I10" s="37">
        <v>2.61102407152858</v>
      </c>
      <c r="J10" s="37">
        <v>2.3965711790272901</v>
      </c>
      <c r="K10" s="54">
        <v>416880.92358738702</v>
      </c>
      <c r="L10" s="49">
        <v>281066.63371256599</v>
      </c>
      <c r="M10" s="69">
        <f>K10/IncidenceComplications!$G7</f>
        <v>205.15793483631251</v>
      </c>
      <c r="N10" s="69">
        <f>L10/IncidenceComplications!$G7</f>
        <v>138.32019375618404</v>
      </c>
      <c r="O10" s="51">
        <v>386.175622514368</v>
      </c>
      <c r="P10" s="49">
        <v>270.31710684289698</v>
      </c>
      <c r="Q10" s="2">
        <v>154</v>
      </c>
      <c r="R10" s="102">
        <v>123</v>
      </c>
      <c r="S10" s="2">
        <v>629</v>
      </c>
      <c r="T10" s="5">
        <v>384</v>
      </c>
      <c r="U10" s="71">
        <f>S10/IncidenceComplications!M7</f>
        <v>4.0844155844155843</v>
      </c>
      <c r="V10" s="71">
        <f>T10/IncidenceComplications!M7</f>
        <v>2.4935064935064934</v>
      </c>
      <c r="W10" s="71">
        <v>2.4679681216924498</v>
      </c>
      <c r="X10" s="71">
        <v>2.6672713854702499</v>
      </c>
      <c r="Y10" s="54">
        <v>29358.2701068473</v>
      </c>
      <c r="Z10" s="51">
        <v>23675.939391956301</v>
      </c>
      <c r="AA10" s="68">
        <f>Y10/IncidenceComplications!M7</f>
        <v>190.63811757693051</v>
      </c>
      <c r="AB10" s="68">
        <f>Z10/IncidenceComplications!M7</f>
        <v>153.73986618153441</v>
      </c>
      <c r="AC10" s="68">
        <v>196.01356108041</v>
      </c>
      <c r="AD10" s="68">
        <v>334.95572820619799</v>
      </c>
      <c r="AE10" s="2">
        <v>120</v>
      </c>
      <c r="AF10" s="102">
        <v>97</v>
      </c>
      <c r="AG10" s="2">
        <v>520</v>
      </c>
      <c r="AH10" s="5">
        <v>322</v>
      </c>
      <c r="AI10" s="71">
        <f>AG10/IncidenceComplications!W7</f>
        <v>4.333333333333333</v>
      </c>
      <c r="AJ10" s="71">
        <f>AH10/IncidenceComplications!W7</f>
        <v>2.6833333333333331</v>
      </c>
      <c r="AK10" s="71">
        <v>3.2001400529575901</v>
      </c>
      <c r="AL10" s="71">
        <v>3.13018197804637</v>
      </c>
      <c r="AM10" s="72">
        <v>29019.598654788198</v>
      </c>
      <c r="AN10" s="68">
        <v>18361.803229938101</v>
      </c>
      <c r="AO10" s="68">
        <f>AM10/IncidenceComplications!W7</f>
        <v>241.82998878990165</v>
      </c>
      <c r="AP10" s="68">
        <f>AN10/IncidenceComplications!W7</f>
        <v>153.01502691615084</v>
      </c>
      <c r="AQ10" s="68">
        <v>317.19082942076301</v>
      </c>
      <c r="AR10" s="78">
        <v>295.21487428381602</v>
      </c>
    </row>
    <row r="11" spans="1:44" x14ac:dyDescent="0.25">
      <c r="A11" s="261"/>
      <c r="B11" s="5" t="s">
        <v>4</v>
      </c>
      <c r="C11" s="2">
        <v>6600</v>
      </c>
      <c r="D11">
        <v>5146</v>
      </c>
      <c r="E11" s="3">
        <v>27215</v>
      </c>
      <c r="F11" s="9">
        <v>19301</v>
      </c>
      <c r="G11" s="37">
        <f>E11/IncidenceComplications!$G8</f>
        <v>4.1228601727011061</v>
      </c>
      <c r="H11" s="37">
        <f>F11/IncidenceComplications!$G8</f>
        <v>2.923950916527799</v>
      </c>
      <c r="I11" s="37">
        <v>3.05805841551761</v>
      </c>
      <c r="J11" s="37">
        <v>2.9790639001583701</v>
      </c>
      <c r="K11" s="54">
        <v>1384950.56273765</v>
      </c>
      <c r="L11" s="49">
        <v>1030076.14717115</v>
      </c>
      <c r="M11" s="69">
        <f>K11/IncidenceComplications!$G8</f>
        <v>209.80920508069232</v>
      </c>
      <c r="N11" s="69">
        <f>L11/IncidenceComplications!$G8</f>
        <v>156.04849979868959</v>
      </c>
      <c r="O11" s="51">
        <v>286.656822656462</v>
      </c>
      <c r="P11" s="49">
        <v>278.65920827074501</v>
      </c>
      <c r="Q11" s="2">
        <v>239</v>
      </c>
      <c r="R11" s="102">
        <v>199</v>
      </c>
      <c r="S11" s="2">
        <v>1298</v>
      </c>
      <c r="T11" s="5">
        <v>831</v>
      </c>
      <c r="U11" s="71">
        <f>S11/IncidenceComplications!M8</f>
        <v>5.4309623430962342</v>
      </c>
      <c r="V11" s="71">
        <f>T11/IncidenceComplications!M8</f>
        <v>3.4769874476987446</v>
      </c>
      <c r="W11" s="71">
        <v>3.4958624275021699</v>
      </c>
      <c r="X11" s="71">
        <v>3.0880791607734301</v>
      </c>
      <c r="Y11" s="54">
        <v>66618.3390330244</v>
      </c>
      <c r="Z11" s="51">
        <v>41917.315889638397</v>
      </c>
      <c r="AA11" s="68">
        <f>Y11/IncidenceComplications!M8</f>
        <v>278.73782022185941</v>
      </c>
      <c r="AB11" s="68">
        <f>Z11/IncidenceComplications!M8</f>
        <v>175.3862589524619</v>
      </c>
      <c r="AC11" s="68">
        <v>334.20536376369898</v>
      </c>
      <c r="AD11" s="68">
        <v>240.531688397652</v>
      </c>
      <c r="AE11" s="2">
        <v>209</v>
      </c>
      <c r="AF11" s="102">
        <v>163</v>
      </c>
      <c r="AG11" s="2">
        <v>1042</v>
      </c>
      <c r="AH11" s="5">
        <v>620</v>
      </c>
      <c r="AI11" s="71">
        <f>AG11/IncidenceComplications!W8</f>
        <v>4.9856459330143537</v>
      </c>
      <c r="AJ11" s="71">
        <f>AH11/IncidenceComplications!W8</f>
        <v>2.9665071770334928</v>
      </c>
      <c r="AK11" s="71">
        <v>3.3418650782096102</v>
      </c>
      <c r="AL11" s="71">
        <v>3.0054162247253702</v>
      </c>
      <c r="AM11" s="72">
        <v>54308.610239502297</v>
      </c>
      <c r="AN11" s="68">
        <v>34627.195965604602</v>
      </c>
      <c r="AO11" s="68">
        <f>AM11/IncidenceComplications!W8</f>
        <v>259.8498097583842</v>
      </c>
      <c r="AP11" s="68">
        <f>AN11/IncidenceComplications!W8</f>
        <v>165.68036347179236</v>
      </c>
      <c r="AQ11" s="68">
        <v>343.29222880424197</v>
      </c>
      <c r="AR11" s="78">
        <v>265.06161263284702</v>
      </c>
    </row>
    <row r="12" spans="1:44" x14ac:dyDescent="0.25">
      <c r="A12" s="261"/>
      <c r="B12" s="5" t="s">
        <v>5</v>
      </c>
      <c r="C12" s="2">
        <v>9477</v>
      </c>
      <c r="D12">
        <v>7552</v>
      </c>
      <c r="E12" s="3">
        <v>44392</v>
      </c>
      <c r="F12" s="9">
        <v>32563</v>
      </c>
      <c r="G12" s="37">
        <f>E12/IncidenceComplications!$G9</f>
        <v>4.6836885418864735</v>
      </c>
      <c r="H12" s="37">
        <f>F12/IncidenceComplications!$G9</f>
        <v>3.4356404304705634</v>
      </c>
      <c r="I12" s="37">
        <v>3.5684964264596601</v>
      </c>
      <c r="J12" s="37">
        <v>3.4051187759140502</v>
      </c>
      <c r="K12" s="54">
        <v>2631332.0497211199</v>
      </c>
      <c r="L12" s="49">
        <v>1990116.4363446699</v>
      </c>
      <c r="M12" s="69">
        <f>K12/IncidenceComplications!$G9</f>
        <v>277.62524263780546</v>
      </c>
      <c r="N12" s="69">
        <f>L12/IncidenceComplications!$G9</f>
        <v>209.97219205999895</v>
      </c>
      <c r="O12" s="51">
        <v>390.77229516884199</v>
      </c>
      <c r="P12" s="49">
        <v>440.59360962760297</v>
      </c>
      <c r="Q12" s="2">
        <v>299</v>
      </c>
      <c r="R12" s="102">
        <v>251</v>
      </c>
      <c r="S12" s="2">
        <v>1918</v>
      </c>
      <c r="T12" s="5">
        <v>1161</v>
      </c>
      <c r="U12" s="71">
        <f>S12/IncidenceComplications!M9</f>
        <v>6.4147157190635449</v>
      </c>
      <c r="V12" s="71">
        <f>T12/IncidenceComplications!M9</f>
        <v>3.8829431438127089</v>
      </c>
      <c r="W12" s="71">
        <v>4.1282198134679202</v>
      </c>
      <c r="X12" s="71">
        <v>3.6494474207230798</v>
      </c>
      <c r="Y12" s="54">
        <v>118728.380055385</v>
      </c>
      <c r="Z12" s="51">
        <v>62347.476010067498</v>
      </c>
      <c r="AA12" s="68">
        <f>Y12/IncidenceComplications!M9</f>
        <v>397.08488312837795</v>
      </c>
      <c r="AB12" s="68">
        <f>Z12/IncidenceComplications!M9</f>
        <v>208.51998665574413</v>
      </c>
      <c r="AC12" s="68">
        <v>440.65320001551902</v>
      </c>
      <c r="AD12" s="68">
        <v>311.777388323281</v>
      </c>
      <c r="AE12" s="2">
        <v>412</v>
      </c>
      <c r="AF12" s="102">
        <v>335</v>
      </c>
      <c r="AG12" s="2">
        <v>2246</v>
      </c>
      <c r="AH12" s="5">
        <v>1426</v>
      </c>
      <c r="AI12" s="71">
        <f>AG12/IncidenceComplications!W9</f>
        <v>5.4514563106796112</v>
      </c>
      <c r="AJ12" s="71">
        <f>AH12/IncidenceComplications!W9</f>
        <v>3.4611650485436893</v>
      </c>
      <c r="AK12" s="71">
        <v>3.6614746893516799</v>
      </c>
      <c r="AL12" s="71">
        <v>3.1922879395496899</v>
      </c>
      <c r="AM12" s="72">
        <v>126467.078897973</v>
      </c>
      <c r="AN12" s="68">
        <v>87355.191168222605</v>
      </c>
      <c r="AO12" s="68">
        <f>AM12/IncidenceComplications!W9</f>
        <v>306.95892936401214</v>
      </c>
      <c r="AP12" s="68">
        <f>AN12/IncidenceComplications!W9</f>
        <v>212.02716302966653</v>
      </c>
      <c r="AQ12" s="68">
        <v>390.47502306138</v>
      </c>
      <c r="AR12" s="78">
        <v>317.44092849821499</v>
      </c>
    </row>
    <row r="13" spans="1:44" x14ac:dyDescent="0.25">
      <c r="A13" s="261"/>
      <c r="B13" s="6" t="s">
        <v>6</v>
      </c>
      <c r="C13" s="8">
        <v>2477</v>
      </c>
      <c r="D13" s="53">
        <v>2293</v>
      </c>
      <c r="E13" s="10">
        <v>14819</v>
      </c>
      <c r="F13" s="11">
        <v>11886</v>
      </c>
      <c r="G13" s="39">
        <f>E13/IncidenceComplications!$G10</f>
        <v>5.9778136345300528</v>
      </c>
      <c r="H13" s="39">
        <f>F13/IncidenceComplications!$G10</f>
        <v>4.794675272287213</v>
      </c>
      <c r="I13" s="37">
        <v>4.0471285244904998</v>
      </c>
      <c r="J13" s="37">
        <v>3.6054667550861601</v>
      </c>
      <c r="K13" s="55">
        <v>948987.27453437797</v>
      </c>
      <c r="L13" s="50">
        <v>790868.44588570902</v>
      </c>
      <c r="M13" s="75">
        <f>K13/IncidenceComplications!$G10</f>
        <v>382.81051816634852</v>
      </c>
      <c r="N13" s="75">
        <f>L13/IncidenceComplications!$G10</f>
        <v>319.0272068921779</v>
      </c>
      <c r="O13" s="50">
        <v>553.93336602056695</v>
      </c>
      <c r="P13" s="50">
        <v>717.28282544669696</v>
      </c>
      <c r="Q13" s="2">
        <v>94</v>
      </c>
      <c r="R13" s="102">
        <v>89</v>
      </c>
      <c r="S13" s="8">
        <v>733</v>
      </c>
      <c r="T13" s="6">
        <v>499</v>
      </c>
      <c r="U13" s="39">
        <f>S13/IncidenceComplications!M10</f>
        <v>7.7978723404255321</v>
      </c>
      <c r="V13" s="39">
        <f>T13/IncidenceComplications!M10</f>
        <v>5.3085106382978724</v>
      </c>
      <c r="W13" s="71">
        <v>4.1751435162611203</v>
      </c>
      <c r="X13" s="71">
        <v>3.4858441712025998</v>
      </c>
      <c r="Y13" s="55">
        <v>47139.037283705598</v>
      </c>
      <c r="Z13" s="50">
        <v>31772.048951673602</v>
      </c>
      <c r="AA13" s="75">
        <f>Y13/IncidenceComplications!M10</f>
        <v>501.47912003942128</v>
      </c>
      <c r="AB13" s="75">
        <f>Z13/IncidenceComplications!M10</f>
        <v>338.00052076248511</v>
      </c>
      <c r="AC13" s="68">
        <v>438.88427311465301</v>
      </c>
      <c r="AD13" s="68">
        <v>327.40138288111399</v>
      </c>
      <c r="AE13" s="8">
        <v>226</v>
      </c>
      <c r="AF13" s="53">
        <v>208</v>
      </c>
      <c r="AG13" s="8">
        <v>1571</v>
      </c>
      <c r="AH13" s="6">
        <v>1211</v>
      </c>
      <c r="AI13" s="39">
        <f>AG13/IncidenceComplications!W10</f>
        <v>6.9207048458149778</v>
      </c>
      <c r="AJ13" s="39">
        <f>AH13/IncidenceComplications!W10</f>
        <v>5.3348017621145374</v>
      </c>
      <c r="AK13" s="39">
        <v>4.2345882390253102</v>
      </c>
      <c r="AL13" s="38">
        <v>3.89494513921814</v>
      </c>
      <c r="AM13" s="72">
        <v>116208.10009245601</v>
      </c>
      <c r="AN13" s="68">
        <v>110324.404549698</v>
      </c>
      <c r="AO13" s="75">
        <f>AM13/IncidenceComplications!W10</f>
        <v>511.92995635443174</v>
      </c>
      <c r="AP13" s="75">
        <f>AN13/IncidenceComplications!W10</f>
        <v>486.01059272994712</v>
      </c>
      <c r="AQ13" s="68">
        <v>1256.8530121358399</v>
      </c>
      <c r="AR13" s="78">
        <v>1598.48357367432</v>
      </c>
    </row>
    <row r="14" spans="1:44" ht="15.75" thickBot="1" x14ac:dyDescent="0.3">
      <c r="A14" s="262"/>
      <c r="B14" s="15" t="s">
        <v>14</v>
      </c>
      <c r="C14" s="31">
        <f>SUM(C7:C13)</f>
        <v>23697</v>
      </c>
      <c r="D14" s="22">
        <f>SUM(D7:D13)</f>
        <v>19426</v>
      </c>
      <c r="E14" s="31">
        <f>SUM(E7:E13)</f>
        <v>105131</v>
      </c>
      <c r="F14" s="22">
        <f>SUM(F7:F13)</f>
        <v>77351</v>
      </c>
      <c r="G14" s="70">
        <f>E14/IncidenceComplications!$G11</f>
        <v>4.435532866424774</v>
      </c>
      <c r="H14" s="70">
        <f>F14/IncidenceComplications!$G11</f>
        <v>3.2634798751160239</v>
      </c>
      <c r="I14" s="40">
        <f t="array" ref="I14">SQRT(AVERAGE(I7:I13^2))</f>
        <v>2.9163233001313538</v>
      </c>
      <c r="J14" s="40">
        <f t="array" ref="J14">SQRT(AVERAGE(J7:J13^2))</f>
        <v>2.7281494546957701</v>
      </c>
      <c r="K14" s="74">
        <f>SUM(K7:K13)</f>
        <v>6028476.9946077112</v>
      </c>
      <c r="L14" s="57">
        <f>SUM(L7:L13)</f>
        <v>4620667.8816784918</v>
      </c>
      <c r="M14" s="77">
        <f>K14/IncidenceComplications!$G11</f>
        <v>254.34465423203574</v>
      </c>
      <c r="N14" s="77">
        <f>L14/IncidenceComplications!$G11</f>
        <v>194.94843817730538</v>
      </c>
      <c r="O14" s="57">
        <f t="array" ref="O14">SQRT(AVERAGE(O7:O13^2))</f>
        <v>358.54859084618198</v>
      </c>
      <c r="P14" s="57">
        <f t="array" ref="P14">SQRT(AVERAGE(P7:P13^2))</f>
        <v>380.88910301032558</v>
      </c>
      <c r="Q14" s="103">
        <f>SUM(Q7:Q13)</f>
        <v>1580</v>
      </c>
      <c r="R14" s="104">
        <f>SUM(R7:R13)</f>
        <v>1403</v>
      </c>
      <c r="S14" s="66">
        <f>SUM(S7:S13)</f>
        <v>8166</v>
      </c>
      <c r="T14" s="67">
        <f>SUM(T7:T13)</f>
        <v>5211</v>
      </c>
      <c r="U14" s="70">
        <f>S14/IncidenceComplications!M11</f>
        <v>5.1683544303797468</v>
      </c>
      <c r="V14" s="70">
        <f>T14/IncidenceComplications!M11</f>
        <v>3.2981012658227846</v>
      </c>
      <c r="W14" s="40">
        <f t="array" ref="W14">SQRT(AVERAGE(W7:W13^2))</f>
        <v>3.1742160955569667</v>
      </c>
      <c r="X14" s="40">
        <f t="array" ref="X14">SQRT(AVERAGE(X7:X13^2))</f>
        <v>2.8044945828949142</v>
      </c>
      <c r="Y14" s="74">
        <f>SUM(Y7:Y13)</f>
        <v>466971.82252420683</v>
      </c>
      <c r="Z14" s="57">
        <f>SUM(Z7:Z13)</f>
        <v>309309.84535016678</v>
      </c>
      <c r="AA14" s="77">
        <f>Y14/IncidenceComplications!M11</f>
        <v>295.55178640772584</v>
      </c>
      <c r="AB14" s="77">
        <f>Z14/IncidenceComplications!M11</f>
        <v>195.76572490516884</v>
      </c>
      <c r="AC14" s="77">
        <f t="array" ref="AC14">SQRT(AVERAGE(AC7:AC13^2))</f>
        <v>345.37572765990205</v>
      </c>
      <c r="AD14" s="77">
        <f t="array" ref="AD14">SQRT(AVERAGE(AD7:AD13^2))</f>
        <v>303.83943014325519</v>
      </c>
      <c r="AE14" s="66">
        <f>SUM(AE7:AE13)</f>
        <v>1277</v>
      </c>
      <c r="AF14" s="99">
        <f>SUM(AF7:AF13)</f>
        <v>1100</v>
      </c>
      <c r="AG14" s="66">
        <f>SUM(AG7:AG13)</f>
        <v>6782</v>
      </c>
      <c r="AH14" s="67">
        <f>SUM(AH7:AH13)</f>
        <v>4516</v>
      </c>
      <c r="AI14" s="70">
        <f>AG14/IncidenceComplications!W11</f>
        <v>5.3067292644757433</v>
      </c>
      <c r="AJ14" s="70">
        <f>AH14/IncidenceComplications!W11</f>
        <v>3.5336463223787167</v>
      </c>
      <c r="AK14" s="70">
        <f t="array" ref="AK14">SQRT(AVERAGE(AK7:AK13^2))</f>
        <v>3.2507634436510036</v>
      </c>
      <c r="AL14" s="70">
        <f t="array" ref="AL14">SQRT(AVERAGE(AL7:AL13^2))</f>
        <v>2.7968828483500965</v>
      </c>
      <c r="AM14" s="74">
        <f>SUM(AM7:AM13)</f>
        <v>409339.92201890924</v>
      </c>
      <c r="AN14" s="57">
        <f>SUM(AN7:AN13)</f>
        <v>311241.90145039599</v>
      </c>
      <c r="AO14" s="77">
        <f>AM14/IncidenceComplications!W11</f>
        <v>320.29727857504633</v>
      </c>
      <c r="AP14" s="77">
        <f>AN14/IncidenceComplications!W11</f>
        <v>243.53826404569327</v>
      </c>
      <c r="AQ14" s="77">
        <f t="array" ref="AQ14">SQRT(AVERAGE(AQ7:AQ13^2))</f>
        <v>590.75069073626878</v>
      </c>
      <c r="AR14" s="80">
        <f t="array" ref="AR14">SQRT(AVERAGE(AR7:AR13^2))</f>
        <v>658.33517744631274</v>
      </c>
    </row>
    <row r="15" spans="1:44" ht="15.75" thickTop="1" x14ac:dyDescent="0.25">
      <c r="A15" s="263">
        <v>2013</v>
      </c>
      <c r="B15" s="5" t="s">
        <v>0</v>
      </c>
      <c r="C15" s="2">
        <v>745</v>
      </c>
      <c r="D15">
        <v>714</v>
      </c>
      <c r="E15" s="3">
        <v>2957</v>
      </c>
      <c r="F15" s="9">
        <v>2249</v>
      </c>
      <c r="G15" s="37">
        <f>E15/IncidenceComplications!$G12</f>
        <v>3.9638069705093835</v>
      </c>
      <c r="H15" s="37">
        <f>F15/IncidenceComplications!$G12</f>
        <v>3.0147453083109919</v>
      </c>
      <c r="I15" s="37">
        <v>2.31714438587057</v>
      </c>
      <c r="J15" s="37">
        <v>1.9996099625074799</v>
      </c>
      <c r="K15" s="54">
        <v>187171.043153523</v>
      </c>
      <c r="L15" s="49">
        <v>160151.30144878899</v>
      </c>
      <c r="M15" s="69">
        <f>K15/IncidenceComplications!$G12</f>
        <v>250.89952165351608</v>
      </c>
      <c r="N15" s="69">
        <f>L15/IncidenceComplications!$G12</f>
        <v>214.68002875172786</v>
      </c>
      <c r="O15" s="51">
        <v>208.301544427175</v>
      </c>
      <c r="P15" s="49">
        <v>182.10386477881701</v>
      </c>
      <c r="Q15" s="2">
        <v>208</v>
      </c>
      <c r="R15" s="102">
        <v>205</v>
      </c>
      <c r="S15" s="2">
        <v>1037</v>
      </c>
      <c r="T15" s="5">
        <v>683</v>
      </c>
      <c r="U15" s="71">
        <f>S15/IncidenceComplications!M12</f>
        <v>4.9855769230769234</v>
      </c>
      <c r="V15" s="71">
        <f>T15/IncidenceComplications!M12</f>
        <v>3.2836538461538463</v>
      </c>
      <c r="W15" s="71">
        <v>2.6273889343627301</v>
      </c>
      <c r="X15" s="71">
        <v>2.0338493323380198</v>
      </c>
      <c r="Y15" s="54">
        <v>64831.363851369497</v>
      </c>
      <c r="Z15" s="51">
        <v>46343.351034332503</v>
      </c>
      <c r="AA15" s="68">
        <f>Y15/IncidenceComplications!M12</f>
        <v>311.68924928543026</v>
      </c>
      <c r="AB15" s="68">
        <f>Z15/IncidenceComplications!M12</f>
        <v>222.80457228044472</v>
      </c>
      <c r="AC15" s="68">
        <v>304.99094493924503</v>
      </c>
      <c r="AD15" s="68">
        <v>131.303950994047</v>
      </c>
      <c r="AE15" s="2">
        <v>100</v>
      </c>
      <c r="AF15" s="102">
        <v>98</v>
      </c>
      <c r="AG15" s="2">
        <v>485</v>
      </c>
      <c r="AH15" s="5">
        <v>319</v>
      </c>
      <c r="AI15" s="71">
        <f>AG15/IncidenceComplications!W12</f>
        <v>4.8019801980198018</v>
      </c>
      <c r="AJ15" s="71">
        <f>AH15/IncidenceComplications!W12</f>
        <v>3.1584158415841586</v>
      </c>
      <c r="AK15" s="71">
        <v>2.6982209026697501</v>
      </c>
      <c r="AL15" s="71">
        <v>1.9273436292852799</v>
      </c>
      <c r="AM15" s="72">
        <v>27417.030947728199</v>
      </c>
      <c r="AN15" s="68">
        <v>23196.929906895799</v>
      </c>
      <c r="AO15" s="68">
        <f>AM15/IncidenceComplications!W12</f>
        <v>271.45575195770493</v>
      </c>
      <c r="AP15" s="68">
        <f>AN15/IncidenceComplications!W12</f>
        <v>229.67257333560198</v>
      </c>
      <c r="AQ15" s="68">
        <v>136.376370061068</v>
      </c>
      <c r="AR15" s="78">
        <v>136.26932404025101</v>
      </c>
    </row>
    <row r="16" spans="1:44" x14ac:dyDescent="0.25">
      <c r="A16" s="261"/>
      <c r="B16" s="5" t="s">
        <v>1</v>
      </c>
      <c r="C16" s="2">
        <v>3470</v>
      </c>
      <c r="D16">
        <v>3308</v>
      </c>
      <c r="E16" s="3">
        <v>13685</v>
      </c>
      <c r="F16" s="9">
        <v>10857</v>
      </c>
      <c r="G16" s="37">
        <f>E16/IncidenceComplications!$G13</f>
        <v>3.9438040345821324</v>
      </c>
      <c r="H16" s="37">
        <f>F16/IncidenceComplications!$G13</f>
        <v>3.1288184438040347</v>
      </c>
      <c r="I16" s="37">
        <v>2.19725199759757</v>
      </c>
      <c r="J16" s="37">
        <v>2.1291141751519498</v>
      </c>
      <c r="K16" s="54">
        <v>789750.69205273804</v>
      </c>
      <c r="L16" s="49">
        <v>611229.20441628201</v>
      </c>
      <c r="M16" s="69">
        <f>K16/IncidenceComplications!$G13</f>
        <v>227.59385938119252</v>
      </c>
      <c r="N16" s="69">
        <f>L16/IncidenceComplications!$G13</f>
        <v>176.14674478855389</v>
      </c>
      <c r="O16" s="51">
        <v>466.43286624943801</v>
      </c>
      <c r="P16" s="49">
        <v>168.18836485700999</v>
      </c>
      <c r="Q16" s="2">
        <v>1183</v>
      </c>
      <c r="R16" s="102">
        <v>1135</v>
      </c>
      <c r="S16" s="2">
        <v>5528</v>
      </c>
      <c r="T16" s="5">
        <v>3941</v>
      </c>
      <c r="U16" s="71">
        <f>S16/IncidenceComplications!M13</f>
        <v>4.6728655959425192</v>
      </c>
      <c r="V16" s="71">
        <f>T16/IncidenceComplications!M13</f>
        <v>3.331360946745562</v>
      </c>
      <c r="W16" s="71">
        <v>2.3734285897018998</v>
      </c>
      <c r="X16" s="71">
        <v>2.2010047138336302</v>
      </c>
      <c r="Y16" s="54">
        <v>304313.394310228</v>
      </c>
      <c r="Z16" s="51">
        <v>214323.53323464701</v>
      </c>
      <c r="AA16" s="68">
        <f>Y16/IncidenceComplications!M13</f>
        <v>257.23871032141</v>
      </c>
      <c r="AB16" s="68">
        <f>Z16/IncidenceComplications!M13</f>
        <v>181.16951245532292</v>
      </c>
      <c r="AC16" s="68">
        <v>226.10630255442601</v>
      </c>
      <c r="AD16" s="68">
        <v>155.043182284344</v>
      </c>
      <c r="AE16" s="2">
        <v>406</v>
      </c>
      <c r="AF16" s="102">
        <v>392</v>
      </c>
      <c r="AG16" s="2">
        <v>1902</v>
      </c>
      <c r="AH16" s="5">
        <v>1360</v>
      </c>
      <c r="AI16" s="71">
        <f>AG16/IncidenceComplications!W13</f>
        <v>4.6847290640394093</v>
      </c>
      <c r="AJ16" s="71">
        <f>AH16/IncidenceComplications!W13</f>
        <v>3.3497536945812807</v>
      </c>
      <c r="AK16" s="71">
        <v>2.6895524067462802</v>
      </c>
      <c r="AL16" s="71">
        <v>2.07533128420111</v>
      </c>
      <c r="AM16" s="72">
        <v>103774.884518415</v>
      </c>
      <c r="AN16" s="68">
        <v>78054.070916395402</v>
      </c>
      <c r="AO16" s="68">
        <f>AM16/IncidenceComplications!W13</f>
        <v>255.60316383846057</v>
      </c>
      <c r="AP16" s="68">
        <f>AN16/IncidenceComplications!W13</f>
        <v>192.25140619801823</v>
      </c>
      <c r="AQ16" s="68">
        <v>199.000519221584</v>
      </c>
      <c r="AR16" s="78">
        <v>166.98921625723901</v>
      </c>
    </row>
    <row r="17" spans="1:44" x14ac:dyDescent="0.25">
      <c r="A17" s="261"/>
      <c r="B17" s="5" t="s">
        <v>2</v>
      </c>
      <c r="C17" s="2">
        <v>2913</v>
      </c>
      <c r="D17">
        <v>2537</v>
      </c>
      <c r="E17" s="3">
        <v>10364</v>
      </c>
      <c r="F17" s="9">
        <v>7756</v>
      </c>
      <c r="G17" s="37">
        <f>E17/IncidenceComplications!$G14</f>
        <v>3.5578441469275659</v>
      </c>
      <c r="H17" s="37">
        <f>F17/IncidenceComplications!$G14</f>
        <v>2.6625472021970475</v>
      </c>
      <c r="I17" s="37">
        <v>2.3055194807192998</v>
      </c>
      <c r="J17" s="37">
        <v>2.1737131392459901</v>
      </c>
      <c r="K17" s="54">
        <v>555958.79860961204</v>
      </c>
      <c r="L17" s="49">
        <v>451760.522671249</v>
      </c>
      <c r="M17" s="69">
        <f>K17/IncidenceComplications!$G14</f>
        <v>190.8543764536945</v>
      </c>
      <c r="N17" s="69">
        <f>L17/IncidenceComplications!$G14</f>
        <v>155.08428516005802</v>
      </c>
      <c r="O17" s="51">
        <v>260.76545536677003</v>
      </c>
      <c r="P17" s="49">
        <v>261.82369991457</v>
      </c>
      <c r="Q17" s="2">
        <v>460</v>
      </c>
      <c r="R17" s="102">
        <v>410</v>
      </c>
      <c r="S17" s="2">
        <v>2134</v>
      </c>
      <c r="T17" s="5">
        <v>1283</v>
      </c>
      <c r="U17" s="71">
        <f>S17/IncidenceComplications!M14</f>
        <v>4.6391304347826088</v>
      </c>
      <c r="V17" s="71">
        <f>T17/IncidenceComplications!M14</f>
        <v>2.7891304347826087</v>
      </c>
      <c r="W17" s="71">
        <v>2.81533911251588</v>
      </c>
      <c r="X17" s="71">
        <v>2.1433108447645299</v>
      </c>
      <c r="Y17" s="54">
        <v>104858.827464987</v>
      </c>
      <c r="Z17" s="51">
        <v>74960.105183495005</v>
      </c>
      <c r="AA17" s="68">
        <f>Y17/IncidenceComplications!M14</f>
        <v>227.95397274997174</v>
      </c>
      <c r="AB17" s="68">
        <f>Z17/IncidenceComplications!M14</f>
        <v>162.95675039890219</v>
      </c>
      <c r="AC17" s="68">
        <v>238.350583251541</v>
      </c>
      <c r="AD17" s="68">
        <v>312.59136395132299</v>
      </c>
      <c r="AE17" s="2">
        <v>165</v>
      </c>
      <c r="AF17" s="102">
        <v>146</v>
      </c>
      <c r="AG17" s="2">
        <v>690</v>
      </c>
      <c r="AH17" s="5">
        <v>426</v>
      </c>
      <c r="AI17" s="71">
        <f>AG17/IncidenceComplications!W14</f>
        <v>4.1818181818181817</v>
      </c>
      <c r="AJ17" s="71">
        <f>AH17/IncidenceComplications!W14</f>
        <v>2.581818181818182</v>
      </c>
      <c r="AK17" s="71">
        <v>2.9306469927319601</v>
      </c>
      <c r="AL17" s="71">
        <v>1.96329963442809</v>
      </c>
      <c r="AM17" s="72">
        <v>39016.612507461803</v>
      </c>
      <c r="AN17" s="68">
        <v>22603.332032856699</v>
      </c>
      <c r="AO17" s="68">
        <f>AM17/IncidenceComplications!W14</f>
        <v>236.46431822704122</v>
      </c>
      <c r="AP17" s="68">
        <f>AN17/IncidenceComplications!W14</f>
        <v>136.98989110822242</v>
      </c>
      <c r="AQ17" s="68">
        <v>266.50547194371802</v>
      </c>
      <c r="AR17" s="78">
        <v>187.89429109213199</v>
      </c>
    </row>
    <row r="18" spans="1:44" x14ac:dyDescent="0.25">
      <c r="A18" s="261"/>
      <c r="B18" s="5" t="s">
        <v>3</v>
      </c>
      <c r="C18" s="2">
        <v>4720</v>
      </c>
      <c r="D18">
        <v>3861</v>
      </c>
      <c r="E18" s="3">
        <v>17188</v>
      </c>
      <c r="F18" s="9">
        <v>12188</v>
      </c>
      <c r="G18" s="37">
        <f>E18/IncidenceComplications!$G15</f>
        <v>3.6399830580262602</v>
      </c>
      <c r="H18" s="37">
        <f>F18/IncidenceComplications!$G15</f>
        <v>2.581109699279966</v>
      </c>
      <c r="I18" s="37">
        <v>2.5010047207357</v>
      </c>
      <c r="J18" s="37">
        <v>2.3803471889459402</v>
      </c>
      <c r="K18" s="54">
        <v>954151.17843679397</v>
      </c>
      <c r="L18" s="49">
        <v>722874.36164510006</v>
      </c>
      <c r="M18" s="69">
        <f>K18/IncidenceComplications!$G15</f>
        <v>202.06505261262049</v>
      </c>
      <c r="N18" s="69">
        <f>L18/IncidenceComplications!$G15</f>
        <v>153.08648065334606</v>
      </c>
      <c r="O18" s="51">
        <v>353.49398676073901</v>
      </c>
      <c r="P18" s="49">
        <v>284.82296340227299</v>
      </c>
      <c r="Q18" s="2">
        <v>333</v>
      </c>
      <c r="R18" s="102">
        <v>274</v>
      </c>
      <c r="S18" s="2">
        <v>1516</v>
      </c>
      <c r="T18" s="5">
        <v>857</v>
      </c>
      <c r="U18" s="71">
        <f>S18/IncidenceComplications!M15</f>
        <v>4.5525525525525525</v>
      </c>
      <c r="V18" s="71">
        <f>T18/IncidenceComplications!M15</f>
        <v>2.5735735735735736</v>
      </c>
      <c r="W18" s="71">
        <v>2.7420917672519902</v>
      </c>
      <c r="X18" s="71">
        <v>2.1251842212474901</v>
      </c>
      <c r="Y18" s="54">
        <v>88581.203201505501</v>
      </c>
      <c r="Z18" s="51">
        <v>54055.073968798897</v>
      </c>
      <c r="AA18" s="68">
        <f>Y18/IncidenceComplications!M15</f>
        <v>266.00961922374023</v>
      </c>
      <c r="AB18" s="68">
        <f>Z18/IncidenceComplications!M15</f>
        <v>162.32754945585253</v>
      </c>
      <c r="AC18" s="68">
        <v>352.194773594737</v>
      </c>
      <c r="AD18" s="68">
        <v>281.72608998028301</v>
      </c>
      <c r="AE18" s="2">
        <v>178</v>
      </c>
      <c r="AF18" s="102">
        <v>144</v>
      </c>
      <c r="AG18" s="2">
        <v>730</v>
      </c>
      <c r="AH18" s="5">
        <v>440</v>
      </c>
      <c r="AI18" s="71">
        <f>AG18/IncidenceComplications!W15</f>
        <v>4.1011235955056176</v>
      </c>
      <c r="AJ18" s="71">
        <f>AH18/IncidenceComplications!W15</f>
        <v>2.4719101123595504</v>
      </c>
      <c r="AK18" s="71">
        <v>2.7351858562543199</v>
      </c>
      <c r="AL18" s="71">
        <v>2.3268993827918898</v>
      </c>
      <c r="AM18" s="72">
        <v>39205.220170918903</v>
      </c>
      <c r="AN18" s="68">
        <v>24746.904334239101</v>
      </c>
      <c r="AO18" s="68">
        <f>AM18/IncidenceComplications!W15</f>
        <v>220.25404590403878</v>
      </c>
      <c r="AP18" s="68">
        <f>AN18/IncidenceComplications!W15</f>
        <v>139.0275524395455</v>
      </c>
      <c r="AQ18" s="68">
        <v>283.19163861907998</v>
      </c>
      <c r="AR18" s="78">
        <v>272.65926140912501</v>
      </c>
    </row>
    <row r="19" spans="1:44" x14ac:dyDescent="0.25">
      <c r="A19" s="261"/>
      <c r="B19" s="5" t="s">
        <v>4</v>
      </c>
      <c r="C19" s="2">
        <v>11817</v>
      </c>
      <c r="D19">
        <v>9622</v>
      </c>
      <c r="E19" s="3">
        <v>53221</v>
      </c>
      <c r="F19" s="9">
        <v>38613</v>
      </c>
      <c r="G19" s="37">
        <f>E19/IncidenceComplications!$G16</f>
        <v>4.5030036382096625</v>
      </c>
      <c r="H19" s="37">
        <f>F19/IncidenceComplications!$G16</f>
        <v>3.2670276673153396</v>
      </c>
      <c r="I19" s="37">
        <v>3.2871365696897699</v>
      </c>
      <c r="J19" s="37">
        <v>3.10308670866696</v>
      </c>
      <c r="K19" s="54">
        <v>2679006.0109788901</v>
      </c>
      <c r="L19" s="49">
        <v>2007770.5105994099</v>
      </c>
      <c r="M19" s="69">
        <f>K19/IncidenceComplications!$G16</f>
        <v>226.66943150680177</v>
      </c>
      <c r="N19" s="69">
        <f>L19/IncidenceComplications!$G16</f>
        <v>169.87651329210678</v>
      </c>
      <c r="O19" s="51">
        <v>345.69534124012</v>
      </c>
      <c r="P19" s="49">
        <v>308.90007696428501</v>
      </c>
      <c r="Q19" s="2">
        <v>409</v>
      </c>
      <c r="R19" s="102">
        <v>346</v>
      </c>
      <c r="S19" s="2">
        <v>2382</v>
      </c>
      <c r="T19" s="5">
        <v>1553</v>
      </c>
      <c r="U19" s="71">
        <f>S19/IncidenceComplications!M16</f>
        <v>5.8239608801955987</v>
      </c>
      <c r="V19" s="71">
        <f>T19/IncidenceComplications!M16</f>
        <v>3.7970660146699267</v>
      </c>
      <c r="W19" s="71">
        <v>3.8160282399213998</v>
      </c>
      <c r="X19" s="71">
        <v>3.59061838549284</v>
      </c>
      <c r="Y19" s="54">
        <v>123912.905764924</v>
      </c>
      <c r="Z19" s="51">
        <v>84171.801313043194</v>
      </c>
      <c r="AA19" s="68">
        <f>Y19/IncidenceComplications!M16</f>
        <v>302.96553976754035</v>
      </c>
      <c r="AB19" s="68">
        <f>Z19/IncidenceComplications!M16</f>
        <v>205.79902521526452</v>
      </c>
      <c r="AC19" s="68">
        <v>589.14388649670298</v>
      </c>
      <c r="AD19" s="68">
        <v>326.984989637799</v>
      </c>
      <c r="AE19" s="2">
        <v>287</v>
      </c>
      <c r="AF19" s="102">
        <v>233</v>
      </c>
      <c r="AG19" s="2">
        <v>1560</v>
      </c>
      <c r="AH19" s="5">
        <v>1011</v>
      </c>
      <c r="AI19" s="71">
        <f>AG19/IncidenceComplications!W16</f>
        <v>5.4355400696864109</v>
      </c>
      <c r="AJ19" s="71">
        <f>AH19/IncidenceComplications!W16</f>
        <v>3.5226480836236935</v>
      </c>
      <c r="AK19" s="71">
        <v>3.8378668551051498</v>
      </c>
      <c r="AL19" s="71">
        <v>3.3300931272055498</v>
      </c>
      <c r="AM19" s="72">
        <v>75533.478598877002</v>
      </c>
      <c r="AN19" s="68">
        <v>57914.936796768197</v>
      </c>
      <c r="AO19" s="68">
        <f>AM19/IncidenceComplications!W16</f>
        <v>263.18285226089546</v>
      </c>
      <c r="AP19" s="68">
        <f>AN19/IncidenceComplications!W16</f>
        <v>201.79420486678814</v>
      </c>
      <c r="AQ19" s="68">
        <v>290.60811878938398</v>
      </c>
      <c r="AR19" s="78">
        <v>343.12071500252301</v>
      </c>
    </row>
    <row r="20" spans="1:44" x14ac:dyDescent="0.25">
      <c r="A20" s="261"/>
      <c r="B20" s="5" t="s">
        <v>5</v>
      </c>
      <c r="C20" s="2">
        <v>20868</v>
      </c>
      <c r="D20">
        <v>17595</v>
      </c>
      <c r="E20" s="3">
        <v>102314</v>
      </c>
      <c r="F20" s="9">
        <v>80404</v>
      </c>
      <c r="G20" s="37">
        <f>E20/IncidenceComplications!$G17</f>
        <v>4.9026786142124683</v>
      </c>
      <c r="H20" s="37">
        <f>F20/IncidenceComplications!$G17</f>
        <v>3.8527960132253583</v>
      </c>
      <c r="I20" s="37">
        <v>3.5381579171223199</v>
      </c>
      <c r="J20" s="37">
        <v>3.4670177755143698</v>
      </c>
      <c r="K20" s="54">
        <v>5756868.8336850796</v>
      </c>
      <c r="L20" s="49">
        <v>4741821.2627008399</v>
      </c>
      <c r="M20" s="69">
        <f>K20/IncidenceComplications!$G17</f>
        <v>275.85743608630406</v>
      </c>
      <c r="N20" s="69">
        <f>L20/IncidenceComplications!$G17</f>
        <v>227.21842267002921</v>
      </c>
      <c r="O20" s="51">
        <v>439.40056995516397</v>
      </c>
      <c r="P20" s="49">
        <v>407.17496487602398</v>
      </c>
      <c r="Q20" s="2">
        <v>600</v>
      </c>
      <c r="R20" s="102">
        <v>508</v>
      </c>
      <c r="S20" s="2">
        <v>3700</v>
      </c>
      <c r="T20" s="5">
        <v>2291</v>
      </c>
      <c r="U20" s="71">
        <f>S20/IncidenceComplications!M17</f>
        <v>6.166666666666667</v>
      </c>
      <c r="V20" s="71">
        <f>T20/IncidenceComplications!M17</f>
        <v>3.8183333333333334</v>
      </c>
      <c r="W20" s="71">
        <v>3.8713306356307</v>
      </c>
      <c r="X20" s="71">
        <v>3.1815406472922598</v>
      </c>
      <c r="Y20" s="54">
        <v>213892.02098708699</v>
      </c>
      <c r="Z20" s="51">
        <v>135300.256795258</v>
      </c>
      <c r="AA20" s="68">
        <f>Y20/IncidenceComplications!M17</f>
        <v>356.48670164514499</v>
      </c>
      <c r="AB20" s="68">
        <f>Z20/IncidenceComplications!M17</f>
        <v>225.50042799209666</v>
      </c>
      <c r="AC20" s="68">
        <v>729.965875485011</v>
      </c>
      <c r="AD20" s="68">
        <v>311.92013133776101</v>
      </c>
      <c r="AE20" s="2">
        <v>887</v>
      </c>
      <c r="AF20" s="102">
        <v>753</v>
      </c>
      <c r="AG20" s="2">
        <v>5508</v>
      </c>
      <c r="AH20" s="5">
        <v>3677</v>
      </c>
      <c r="AI20" s="71">
        <f>AG20/IncidenceComplications!W17</f>
        <v>6.2096956031567077</v>
      </c>
      <c r="AJ20" s="71">
        <f>AH20/IncidenceComplications!W17</f>
        <v>4.1454340473506202</v>
      </c>
      <c r="AK20" s="71">
        <v>4.2150162361633496</v>
      </c>
      <c r="AL20" s="71">
        <v>3.5519744625026002</v>
      </c>
      <c r="AM20" s="72">
        <v>305454.29322871898</v>
      </c>
      <c r="AN20" s="68">
        <v>222202.65112081199</v>
      </c>
      <c r="AO20" s="68">
        <f>AM20/IncidenceComplications!W17</f>
        <v>344.36786158818376</v>
      </c>
      <c r="AP20" s="68">
        <f>AN20/IncidenceComplications!W17</f>
        <v>250.5103169343991</v>
      </c>
      <c r="AQ20" s="68">
        <v>480.67606630101801</v>
      </c>
      <c r="AR20" s="78">
        <v>428.48638667973802</v>
      </c>
    </row>
    <row r="21" spans="1:44" x14ac:dyDescent="0.25">
      <c r="A21" s="261"/>
      <c r="B21" s="6" t="s">
        <v>6</v>
      </c>
      <c r="C21" s="8">
        <v>4246</v>
      </c>
      <c r="D21" s="53">
        <v>3977</v>
      </c>
      <c r="E21" s="10">
        <v>27622</v>
      </c>
      <c r="F21" s="11">
        <v>22851</v>
      </c>
      <c r="G21" s="39">
        <f>E21/IncidenceComplications!$G18</f>
        <v>6.503885095361432</v>
      </c>
      <c r="H21" s="39">
        <f>F21/IncidenceComplications!$G18</f>
        <v>5.3805038850953615</v>
      </c>
      <c r="I21" s="39">
        <v>4.2425764568213902</v>
      </c>
      <c r="J21" s="37">
        <v>3.9813834834419901</v>
      </c>
      <c r="K21" s="55">
        <v>1737024.81718815</v>
      </c>
      <c r="L21" s="50">
        <v>1442835.59929794</v>
      </c>
      <c r="M21" s="75">
        <f>K21/IncidenceComplications!$G18</f>
        <v>409.00042787571226</v>
      </c>
      <c r="N21" s="75">
        <f>L21/IncidenceComplications!$G18</f>
        <v>339.73053903883681</v>
      </c>
      <c r="O21" s="50">
        <v>583.57831490605497</v>
      </c>
      <c r="P21" s="50">
        <v>651.85675752121097</v>
      </c>
      <c r="Q21" s="2">
        <v>128</v>
      </c>
      <c r="R21" s="102">
        <v>123</v>
      </c>
      <c r="S21" s="8">
        <v>1032</v>
      </c>
      <c r="T21" s="6">
        <v>749</v>
      </c>
      <c r="U21" s="39">
        <f>S21/IncidenceComplications!M18</f>
        <v>8.0625</v>
      </c>
      <c r="V21" s="39">
        <f>T21/IncidenceComplications!M18</f>
        <v>5.8515625</v>
      </c>
      <c r="W21" s="71">
        <v>4.9956674142086204</v>
      </c>
      <c r="X21" s="71">
        <v>3.6867283658152901</v>
      </c>
      <c r="Y21" s="55">
        <v>61074.692932360202</v>
      </c>
      <c r="Z21" s="50">
        <v>42043.520544885403</v>
      </c>
      <c r="AA21" s="75">
        <f>Y21/IncidenceComplications!M18</f>
        <v>477.14603853406408</v>
      </c>
      <c r="AB21" s="75">
        <f>Z21/IncidenceComplications!M18</f>
        <v>328.46500425691721</v>
      </c>
      <c r="AC21" s="75">
        <v>432.88849793880303</v>
      </c>
      <c r="AD21" s="75">
        <v>316.71007576685599</v>
      </c>
      <c r="AE21" s="8">
        <v>363</v>
      </c>
      <c r="AF21" s="53">
        <v>341</v>
      </c>
      <c r="AG21" s="8">
        <v>2729</v>
      </c>
      <c r="AH21" s="6">
        <v>1956</v>
      </c>
      <c r="AI21" s="39">
        <f>AG21/IncidenceComplications!W18</f>
        <v>7.5179063360881546</v>
      </c>
      <c r="AJ21" s="39">
        <f>AH21/IncidenceComplications!W18</f>
        <v>5.3884297520661155</v>
      </c>
      <c r="AK21" s="39">
        <v>4.4902083799162602</v>
      </c>
      <c r="AL21" s="38">
        <v>3.91421527629327</v>
      </c>
      <c r="AM21" s="72">
        <v>198158.137221729</v>
      </c>
      <c r="AN21" s="68">
        <v>122261.60242372</v>
      </c>
      <c r="AO21" s="75">
        <f>AM21/IncidenceComplications!W18</f>
        <v>545.89018518382647</v>
      </c>
      <c r="AP21" s="75">
        <f>AN21/IncidenceComplications!W18</f>
        <v>336.80882210391184</v>
      </c>
      <c r="AQ21" s="75">
        <v>895.92195817781499</v>
      </c>
      <c r="AR21" s="79">
        <v>376.00359955495099</v>
      </c>
    </row>
    <row r="22" spans="1:44" ht="15.75" thickBot="1" x14ac:dyDescent="0.3">
      <c r="A22" s="262"/>
      <c r="B22" s="15" t="s">
        <v>14</v>
      </c>
      <c r="C22" s="31">
        <f>SUM(C15:C21)</f>
        <v>48779</v>
      </c>
      <c r="D22" s="22">
        <f>SUM(D15:D21)</f>
        <v>41614</v>
      </c>
      <c r="E22" s="31">
        <f>SUM(E15:E21)</f>
        <v>227351</v>
      </c>
      <c r="F22" s="22">
        <f>SUM(F15:F21)</f>
        <v>174918</v>
      </c>
      <c r="G22" s="70">
        <f>E22/IncidenceComplications!$G19</f>
        <v>4.6601689009141971</v>
      </c>
      <c r="H22" s="70">
        <f>F22/IncidenceComplications!$G19</f>
        <v>3.5854138482351496</v>
      </c>
      <c r="I22" s="70">
        <f t="array" ref="I22">SQRT(AVERAGE(I15:I21^2))</f>
        <v>3.0021611834833437</v>
      </c>
      <c r="J22" s="40">
        <f t="array" ref="J22">SQRT(AVERAGE(J15:J21^2))</f>
        <v>2.8391000219915878</v>
      </c>
      <c r="K22" s="74">
        <f>SUM(K15:K21)</f>
        <v>12659931.374104787</v>
      </c>
      <c r="L22" s="57">
        <f>SUM(L15:L21)</f>
        <v>10138442.76277961</v>
      </c>
      <c r="M22" s="77">
        <f>K22/IncidenceComplications!$G19</f>
        <v>259.49926975166619</v>
      </c>
      <c r="N22" s="77">
        <f>L22/IncidenceComplications!$G19</f>
        <v>207.81459358790659</v>
      </c>
      <c r="O22" s="57">
        <f t="array" ref="O22">SQRT(AVERAGE(O15:O21^2))</f>
        <v>397.68033698610776</v>
      </c>
      <c r="P22" s="57">
        <f t="array" ref="P22">SQRT(AVERAGE(P15:P21^2))</f>
        <v>358.02092034948839</v>
      </c>
      <c r="Q22" s="103">
        <f>SUM(Q15:Q21)</f>
        <v>3321</v>
      </c>
      <c r="R22" s="104">
        <f>SUM(R15:R21)</f>
        <v>3001</v>
      </c>
      <c r="S22" s="66">
        <f>SUM(S15:S21)</f>
        <v>17329</v>
      </c>
      <c r="T22" s="67">
        <f>SUM(T15:T21)</f>
        <v>11357</v>
      </c>
      <c r="U22" s="70">
        <f>S22/IncidenceComplications!M19</f>
        <v>5.2180066245106893</v>
      </c>
      <c r="V22" s="70">
        <f>T22/IncidenceComplications!M19</f>
        <v>3.4197530864197532</v>
      </c>
      <c r="W22" s="40">
        <f t="array" ref="W22">SQRT(AVERAGE(W15:W21^2))</f>
        <v>3.4327727816478282</v>
      </c>
      <c r="X22" s="40">
        <f t="array" ref="X22">SQRT(AVERAGE(X15:X21^2))</f>
        <v>2.7953497489430896</v>
      </c>
      <c r="Y22" s="74">
        <f>SUM(Y15:Y21)</f>
        <v>961464.40851246112</v>
      </c>
      <c r="Z22" s="57">
        <f>SUM(Z15:Z21)</f>
        <v>651197.64207446005</v>
      </c>
      <c r="AA22" s="77">
        <f>Y22/IncidenceComplications!M19</f>
        <v>289.51051144608886</v>
      </c>
      <c r="AB22" s="77">
        <f>Z22/IncidenceComplications!M19</f>
        <v>196.08480640604037</v>
      </c>
      <c r="AC22" s="76">
        <f t="array" ref="AC22">SQRT(AVERAGE(AC15:AC21^2))</f>
        <v>445.98668232043445</v>
      </c>
      <c r="AD22" s="76">
        <f t="array" ref="AD22">SQRT(AVERAGE(AD15:AD21^2))</f>
        <v>273.30796088621759</v>
      </c>
      <c r="AE22" s="66">
        <f>SUM(AE15:AE21)</f>
        <v>2386</v>
      </c>
      <c r="AF22" s="99">
        <f>SUM(AF15:AF21)</f>
        <v>2107</v>
      </c>
      <c r="AG22" s="66">
        <f>SUM(AG15:AG21)</f>
        <v>13604</v>
      </c>
      <c r="AH22" s="67">
        <f>SUM(AH15:AH21)</f>
        <v>9189</v>
      </c>
      <c r="AI22" s="70">
        <f>AG22/IncidenceComplications!W19</f>
        <v>5.6992040217846673</v>
      </c>
      <c r="AJ22" s="70">
        <f>AH22/IncidenceComplications!W19</f>
        <v>3.8496020108923337</v>
      </c>
      <c r="AK22" s="70">
        <f t="array" ref="AK22">SQRT(AVERAGE(AK15:AK21^2))</f>
        <v>3.4484277331686513</v>
      </c>
      <c r="AL22" s="70">
        <f t="array" ref="AL22">SQRT(AVERAGE(AL15:AL21^2))</f>
        <v>2.8364410206155228</v>
      </c>
      <c r="AM22" s="74">
        <f>SUM(AM15:AM21)</f>
        <v>788559.65719384898</v>
      </c>
      <c r="AN22" s="57">
        <f>SUM(AN15:AN21)</f>
        <v>550980.42753168719</v>
      </c>
      <c r="AO22" s="77">
        <f>AM22/IncidenceComplications!W19</f>
        <v>330.35595190358146</v>
      </c>
      <c r="AP22" s="77">
        <f>AN22/IncidenceComplications!W19</f>
        <v>230.82548283690289</v>
      </c>
      <c r="AQ22" s="76">
        <f t="array" ref="AQ22">SQRT(AVERAGE(AQ15:AQ21^2))</f>
        <v>435.4966141064528</v>
      </c>
      <c r="AR22" s="109">
        <f t="array" ref="AR22">SQRT(AVERAGE(AR15:AR21^2))</f>
        <v>292.48032412204583</v>
      </c>
    </row>
    <row r="23" spans="1:44" ht="15.75" thickTop="1" x14ac:dyDescent="0.25">
      <c r="A23" s="263">
        <v>2014</v>
      </c>
      <c r="B23" s="5" t="s">
        <v>0</v>
      </c>
      <c r="C23" s="2">
        <v>471</v>
      </c>
      <c r="D23">
        <v>444</v>
      </c>
      <c r="E23" s="3">
        <v>1698</v>
      </c>
      <c r="F23" s="9">
        <v>1229</v>
      </c>
      <c r="G23" s="37">
        <f>E23/IncidenceComplications!$G20</f>
        <v>3.605095541401274</v>
      </c>
      <c r="H23" s="37">
        <f>F23/IncidenceComplications!$G20</f>
        <v>2.6093418259023355</v>
      </c>
      <c r="I23" s="37">
        <v>2.0475973313320099</v>
      </c>
      <c r="J23" s="37">
        <v>1.9559613710485499</v>
      </c>
      <c r="K23" s="54">
        <v>113843.90483</v>
      </c>
      <c r="L23" s="49">
        <v>89130.813970000003</v>
      </c>
      <c r="M23" s="69">
        <f>K23/IncidenceComplications!$G20</f>
        <v>241.70680430997876</v>
      </c>
      <c r="N23" s="69">
        <f>L23/IncidenceComplications!$G20</f>
        <v>189.23739696390658</v>
      </c>
      <c r="O23" s="49">
        <v>148.156469545091</v>
      </c>
      <c r="P23" s="49">
        <v>231.43415800284299</v>
      </c>
      <c r="Q23" s="2">
        <v>147</v>
      </c>
      <c r="R23" s="102">
        <v>140</v>
      </c>
      <c r="S23" s="2">
        <v>618</v>
      </c>
      <c r="T23" s="5">
        <v>407</v>
      </c>
      <c r="U23" s="71">
        <f>S23/IncidenceComplications!M20</f>
        <v>4.204081632653061</v>
      </c>
      <c r="V23" s="71">
        <f>T23/IncidenceComplications!M20</f>
        <v>2.7687074829931975</v>
      </c>
      <c r="W23" s="71">
        <v>2.2419987887224502</v>
      </c>
      <c r="X23" s="71">
        <v>2.2116380441892498</v>
      </c>
      <c r="Y23" s="54">
        <v>40436.973389999999</v>
      </c>
      <c r="Z23" s="51">
        <v>30746.861929999999</v>
      </c>
      <c r="AA23" s="68">
        <f>Y23/IncidenceComplications!M20</f>
        <v>275.08145163265306</v>
      </c>
      <c r="AB23" s="68">
        <f>Z23/IncidenceComplications!M20</f>
        <v>209.16232605442175</v>
      </c>
      <c r="AC23" s="68">
        <v>163.83300654949099</v>
      </c>
      <c r="AD23" s="68">
        <v>371.23265457979102</v>
      </c>
      <c r="AE23" s="2">
        <v>51</v>
      </c>
      <c r="AF23" s="102">
        <v>48</v>
      </c>
      <c r="AG23" s="2">
        <v>214</v>
      </c>
      <c r="AH23" s="5">
        <v>142</v>
      </c>
      <c r="AI23" s="71">
        <f>AG23/IncidenceComplications!W20</f>
        <v>4.1960784313725492</v>
      </c>
      <c r="AJ23" s="71">
        <f>AH23/IncidenceComplications!W20</f>
        <v>2.784313725490196</v>
      </c>
      <c r="AK23" s="71">
        <v>2.1355992867870799</v>
      </c>
      <c r="AL23" s="71">
        <v>2.03286719182731</v>
      </c>
      <c r="AM23" s="72">
        <v>14544.7708</v>
      </c>
      <c r="AN23" s="68">
        <v>10393.98306</v>
      </c>
      <c r="AO23" s="68">
        <f>AM23/IncidenceComplications!W20</f>
        <v>285.19158431372551</v>
      </c>
      <c r="AP23" s="68">
        <f>AN23/IncidenceComplications!W20</f>
        <v>203.8035894117647</v>
      </c>
      <c r="AQ23" s="68">
        <v>138.54114029873401</v>
      </c>
      <c r="AR23" s="78">
        <v>119.36208587809401</v>
      </c>
    </row>
    <row r="24" spans="1:44" x14ac:dyDescent="0.25">
      <c r="A24" s="261"/>
      <c r="B24" s="5" t="s">
        <v>1</v>
      </c>
      <c r="C24" s="2">
        <v>1320</v>
      </c>
      <c r="D24">
        <v>1232</v>
      </c>
      <c r="E24" s="3">
        <v>4935</v>
      </c>
      <c r="F24" s="9">
        <v>3810</v>
      </c>
      <c r="G24" s="37">
        <f>E24/IncidenceComplications!$G21</f>
        <v>3.7386363636363638</v>
      </c>
      <c r="H24" s="37">
        <f>F24/IncidenceComplications!$G21</f>
        <v>2.8863636363636362</v>
      </c>
      <c r="I24" s="37">
        <v>2.28600076635077</v>
      </c>
      <c r="J24" s="37">
        <v>2.0815363168956198</v>
      </c>
      <c r="K24" s="54">
        <v>285462.05093999999</v>
      </c>
      <c r="L24" s="49">
        <v>228714.88644</v>
      </c>
      <c r="M24" s="69">
        <f>K24/IncidenceComplications!$G21</f>
        <v>216.2591295</v>
      </c>
      <c r="N24" s="69">
        <f>L24/IncidenceComplications!$G21</f>
        <v>173.26885336363637</v>
      </c>
      <c r="O24" s="49">
        <v>248.24547940324899</v>
      </c>
      <c r="P24" s="49">
        <v>197.18145102471601</v>
      </c>
      <c r="Q24" s="2">
        <v>445</v>
      </c>
      <c r="R24" s="102">
        <v>419</v>
      </c>
      <c r="S24" s="2">
        <v>2045</v>
      </c>
      <c r="T24" s="5">
        <v>1356</v>
      </c>
      <c r="U24" s="71">
        <f>S24/IncidenceComplications!M21</f>
        <v>4.595505617977528</v>
      </c>
      <c r="V24" s="71">
        <f>T24/IncidenceComplications!M21</f>
        <v>3.047191011235955</v>
      </c>
      <c r="W24" s="71">
        <v>2.7267407082762798</v>
      </c>
      <c r="X24" s="71">
        <v>2.1768690782182598</v>
      </c>
      <c r="Y24" s="54">
        <v>113232.89066</v>
      </c>
      <c r="Z24" s="51">
        <v>82425.7644</v>
      </c>
      <c r="AA24" s="68">
        <f>Y24/IncidenceComplications!M21</f>
        <v>254.45593406741574</v>
      </c>
      <c r="AB24" s="68">
        <f>Z24/IncidenceComplications!M21</f>
        <v>185.2264368539326</v>
      </c>
      <c r="AC24" s="68">
        <v>204.13484271523899</v>
      </c>
      <c r="AD24" s="68">
        <v>227.397178249051</v>
      </c>
      <c r="AE24" s="2">
        <v>162</v>
      </c>
      <c r="AF24" s="102">
        <v>153</v>
      </c>
      <c r="AG24" s="2">
        <v>701</v>
      </c>
      <c r="AH24" s="5">
        <v>530</v>
      </c>
      <c r="AI24" s="71">
        <f>AG24/IncidenceComplications!W21</f>
        <v>4.3271604938271606</v>
      </c>
      <c r="AJ24" s="71">
        <f>AH24/IncidenceComplications!W21</f>
        <v>3.2716049382716048</v>
      </c>
      <c r="AK24" s="71">
        <v>2.81263839557595</v>
      </c>
      <c r="AL24" s="71">
        <v>2.48229680098376</v>
      </c>
      <c r="AM24" s="72">
        <v>40356.272010000001</v>
      </c>
      <c r="AN24" s="68">
        <v>29724.07084</v>
      </c>
      <c r="AO24" s="68">
        <f>AM24/IncidenceComplications!W21</f>
        <v>249.11279018518519</v>
      </c>
      <c r="AP24" s="68">
        <f>AN24/IncidenceComplications!W21</f>
        <v>183.48191876543211</v>
      </c>
      <c r="AQ24" s="68">
        <v>221.25252475484101</v>
      </c>
      <c r="AR24" s="78">
        <v>161.407989942581</v>
      </c>
    </row>
    <row r="25" spans="1:44" x14ac:dyDescent="0.25">
      <c r="A25" s="261"/>
      <c r="B25" s="5" t="s">
        <v>2</v>
      </c>
      <c r="C25" s="2">
        <v>845</v>
      </c>
      <c r="D25">
        <v>695</v>
      </c>
      <c r="E25" s="3">
        <v>2841</v>
      </c>
      <c r="F25" s="9">
        <v>1958</v>
      </c>
      <c r="G25" s="37">
        <f>E25/IncidenceComplications!$G22</f>
        <v>3.3621301775147927</v>
      </c>
      <c r="H25" s="37">
        <f>F25/IncidenceComplications!$G22</f>
        <v>2.3171597633136094</v>
      </c>
      <c r="I25" s="37">
        <v>2.0673460347952202</v>
      </c>
      <c r="J25" s="37">
        <v>1.9758617963282501</v>
      </c>
      <c r="K25" s="54">
        <v>169839.35618999999</v>
      </c>
      <c r="L25" s="49">
        <v>125617.26002</v>
      </c>
      <c r="M25" s="69">
        <f>K25/IncidenceComplications!$G22</f>
        <v>200.99332093491122</v>
      </c>
      <c r="N25" s="69">
        <f>L25/IncidenceComplications!$G22</f>
        <v>148.65947931360947</v>
      </c>
      <c r="O25" s="49">
        <v>365.72916835694798</v>
      </c>
      <c r="P25" s="49">
        <v>272.21677815463801</v>
      </c>
      <c r="Q25" s="2">
        <v>150</v>
      </c>
      <c r="R25" s="102">
        <v>125</v>
      </c>
      <c r="S25" s="2">
        <v>632</v>
      </c>
      <c r="T25" s="5">
        <v>371</v>
      </c>
      <c r="U25" s="71">
        <f>S25/IncidenceComplications!M22</f>
        <v>4.2133333333333329</v>
      </c>
      <c r="V25" s="71">
        <f>T25/IncidenceComplications!M22</f>
        <v>2.4733333333333332</v>
      </c>
      <c r="W25" s="71">
        <v>2.0969350169531702</v>
      </c>
      <c r="X25" s="71">
        <v>2.0223471866068699</v>
      </c>
      <c r="Y25" s="54">
        <v>40867.9516</v>
      </c>
      <c r="Z25" s="51">
        <v>21381.82444</v>
      </c>
      <c r="AA25" s="68">
        <f>Y25/IncidenceComplications!M22</f>
        <v>272.45301066666667</v>
      </c>
      <c r="AB25" s="68">
        <f>Z25/IncidenceComplications!M22</f>
        <v>142.54549626666667</v>
      </c>
      <c r="AC25" s="68">
        <v>671.285770460869</v>
      </c>
      <c r="AD25" s="68">
        <v>189.459663185848</v>
      </c>
      <c r="AE25" s="2">
        <v>68</v>
      </c>
      <c r="AF25" s="102">
        <v>55</v>
      </c>
      <c r="AG25" s="2">
        <v>252</v>
      </c>
      <c r="AH25" s="5">
        <v>154</v>
      </c>
      <c r="AI25" s="71">
        <f>AG25/IncidenceComplications!W22</f>
        <v>3.7058823529411766</v>
      </c>
      <c r="AJ25" s="71">
        <f>AH25/IncidenceComplications!W22</f>
        <v>2.2647058823529411</v>
      </c>
      <c r="AK25" s="71">
        <v>2.1093878543978</v>
      </c>
      <c r="AL25" s="71">
        <v>1.84970870686803</v>
      </c>
      <c r="AM25" s="72">
        <v>11365.90229</v>
      </c>
      <c r="AN25" s="68">
        <v>9482.4949799999995</v>
      </c>
      <c r="AO25" s="68">
        <f>AM25/IncidenceComplications!W22</f>
        <v>167.14562191176469</v>
      </c>
      <c r="AP25" s="68">
        <f>AN25/IncidenceComplications!W22</f>
        <v>139.44845558823528</v>
      </c>
      <c r="AQ25" s="68">
        <v>143.40604569049799</v>
      </c>
      <c r="AR25" s="78">
        <v>202.941829819487</v>
      </c>
    </row>
    <row r="26" spans="1:44" x14ac:dyDescent="0.25">
      <c r="A26" s="261"/>
      <c r="B26" s="5" t="s">
        <v>3</v>
      </c>
      <c r="C26" s="2">
        <v>1651</v>
      </c>
      <c r="D26">
        <v>1307</v>
      </c>
      <c r="E26" s="3">
        <v>6118</v>
      </c>
      <c r="F26" s="9">
        <v>3984</v>
      </c>
      <c r="G26" s="37">
        <f>E26/IncidenceComplications!$G23</f>
        <v>3.7056329497274381</v>
      </c>
      <c r="H26" s="37">
        <f>F26/IncidenceComplications!$G23</f>
        <v>2.4130829800121139</v>
      </c>
      <c r="I26" s="37">
        <v>2.6702556470016101</v>
      </c>
      <c r="J26" s="37">
        <v>2.3761794401723999</v>
      </c>
      <c r="K26" s="54">
        <v>341877.59315999999</v>
      </c>
      <c r="L26" s="49">
        <v>241488.09474999999</v>
      </c>
      <c r="M26" s="69">
        <f>K26/IncidenceComplications!$G23</f>
        <v>207.07304249545729</v>
      </c>
      <c r="N26" s="69">
        <f>L26/IncidenceComplications!$G23</f>
        <v>146.26777392489399</v>
      </c>
      <c r="O26" s="49">
        <v>308.03252726752498</v>
      </c>
      <c r="P26" s="49">
        <v>277.81744144929598</v>
      </c>
      <c r="Q26" s="2">
        <v>122</v>
      </c>
      <c r="R26" s="102">
        <v>102</v>
      </c>
      <c r="S26" s="2">
        <v>587</v>
      </c>
      <c r="T26" s="5">
        <v>324</v>
      </c>
      <c r="U26" s="71">
        <f>S26/IncidenceComplications!M23</f>
        <v>4.8114754098360653</v>
      </c>
      <c r="V26" s="71">
        <f>T26/IncidenceComplications!M23</f>
        <v>2.6557377049180326</v>
      </c>
      <c r="W26" s="71">
        <v>2.96071235345249</v>
      </c>
      <c r="X26" s="71">
        <v>2.9084388240846</v>
      </c>
      <c r="Y26" s="54">
        <v>34326.774160000001</v>
      </c>
      <c r="Z26" s="51">
        <v>19450.749609999999</v>
      </c>
      <c r="AA26" s="68">
        <f>Y26/IncidenceComplications!M23</f>
        <v>281.36700131147541</v>
      </c>
      <c r="AB26" s="68">
        <f>Z26/IncidenceComplications!M23</f>
        <v>159.43237385245899</v>
      </c>
      <c r="AC26" s="68">
        <v>412.25196061854399</v>
      </c>
      <c r="AD26" s="68">
        <v>229.05351787524799</v>
      </c>
      <c r="AE26" s="2">
        <v>87</v>
      </c>
      <c r="AF26" s="102">
        <v>75</v>
      </c>
      <c r="AG26" s="2">
        <v>390</v>
      </c>
      <c r="AH26" s="5">
        <v>224</v>
      </c>
      <c r="AI26" s="71">
        <f>AG26/IncidenceComplications!W23</f>
        <v>4.4827586206896548</v>
      </c>
      <c r="AJ26" s="71">
        <f>AH26/IncidenceComplications!W23</f>
        <v>2.5747126436781609</v>
      </c>
      <c r="AK26" s="71">
        <v>2.7822613730624401</v>
      </c>
      <c r="AL26" s="71">
        <v>2.2957604197385799</v>
      </c>
      <c r="AM26" s="72">
        <v>23172.315569999999</v>
      </c>
      <c r="AN26" s="68">
        <v>14205.5957</v>
      </c>
      <c r="AO26" s="68">
        <f>AM26/IncidenceComplications!W23</f>
        <v>266.34845482758618</v>
      </c>
      <c r="AP26" s="68">
        <f>AN26/IncidenceComplications!W23</f>
        <v>163.2827091954023</v>
      </c>
      <c r="AQ26" s="68">
        <v>320.57151465142198</v>
      </c>
      <c r="AR26" s="78">
        <v>242.938444115588</v>
      </c>
    </row>
    <row r="27" spans="1:44" x14ac:dyDescent="0.25">
      <c r="A27" s="261"/>
      <c r="B27" s="5" t="s">
        <v>4</v>
      </c>
      <c r="C27" s="2">
        <v>6639</v>
      </c>
      <c r="D27">
        <v>5253</v>
      </c>
      <c r="E27" s="3">
        <v>28931</v>
      </c>
      <c r="F27" s="9">
        <v>20087</v>
      </c>
      <c r="G27" s="37">
        <f>E27/IncidenceComplications!$G24</f>
        <v>4.3577345985841243</v>
      </c>
      <c r="H27" s="37">
        <f>F27/IncidenceComplications!$G24</f>
        <v>3.0256062660039165</v>
      </c>
      <c r="I27" s="37">
        <v>3.20475741212308</v>
      </c>
      <c r="J27" s="37">
        <v>3.0353359082221201</v>
      </c>
      <c r="K27" s="54">
        <v>1457415.0824800001</v>
      </c>
      <c r="L27" s="49">
        <v>1108867.51245</v>
      </c>
      <c r="M27" s="69">
        <f>K27/IncidenceComplications!$G24</f>
        <v>219.5232840006025</v>
      </c>
      <c r="N27" s="69">
        <f>L27/IncidenceComplications!$G24</f>
        <v>167.02327345232717</v>
      </c>
      <c r="O27" s="49">
        <v>293.84430543835799</v>
      </c>
      <c r="P27" s="49">
        <v>329.838824284081</v>
      </c>
      <c r="Q27" s="2">
        <v>269</v>
      </c>
      <c r="R27" s="102">
        <v>221</v>
      </c>
      <c r="S27" s="2">
        <v>1474</v>
      </c>
      <c r="T27" s="5">
        <v>882</v>
      </c>
      <c r="U27" s="71">
        <f>S27/IncidenceComplications!M24</f>
        <v>5.4795539033457246</v>
      </c>
      <c r="V27" s="71">
        <f>T27/IncidenceComplications!M24</f>
        <v>3.2788104089219332</v>
      </c>
      <c r="W27" s="71">
        <v>3.9771443790985899</v>
      </c>
      <c r="X27" s="71">
        <v>2.9422864112559499</v>
      </c>
      <c r="Y27" s="54">
        <v>68937.257610000001</v>
      </c>
      <c r="Z27" s="51">
        <v>41592.043590000001</v>
      </c>
      <c r="AA27" s="68">
        <f>Y27/IncidenceComplications!M24</f>
        <v>256.27233312267657</v>
      </c>
      <c r="AB27" s="68">
        <f>Z27/IncidenceComplications!M24</f>
        <v>154.61726241635688</v>
      </c>
      <c r="AC27" s="68">
        <v>277.45698757027401</v>
      </c>
      <c r="AD27" s="68">
        <v>223.15554966038599</v>
      </c>
      <c r="AE27" s="2">
        <v>162</v>
      </c>
      <c r="AF27" s="102">
        <v>131</v>
      </c>
      <c r="AG27" s="2">
        <v>893</v>
      </c>
      <c r="AH27" s="5">
        <v>487</v>
      </c>
      <c r="AI27" s="71">
        <f>AG27/IncidenceComplications!W24</f>
        <v>5.5123456790123457</v>
      </c>
      <c r="AJ27" s="71">
        <f>AH27/IncidenceComplications!W24</f>
        <v>3.0061728395061729</v>
      </c>
      <c r="AK27" s="71">
        <v>3.6851854741848098</v>
      </c>
      <c r="AL27" s="71">
        <v>2.8600849433162701</v>
      </c>
      <c r="AM27" s="72">
        <v>45301.127410000001</v>
      </c>
      <c r="AN27" s="68">
        <v>29154.059789999999</v>
      </c>
      <c r="AO27" s="68">
        <f>AM27/IncidenceComplications!W24</f>
        <v>279.63658895061729</v>
      </c>
      <c r="AP27" s="68">
        <f>AN27/IncidenceComplications!W24</f>
        <v>179.96333203703702</v>
      </c>
      <c r="AQ27" s="68">
        <v>322.60410399054899</v>
      </c>
      <c r="AR27" s="78">
        <v>282.33165823674301</v>
      </c>
    </row>
    <row r="28" spans="1:44" x14ac:dyDescent="0.25">
      <c r="A28" s="261"/>
      <c r="B28" s="5" t="s">
        <v>5</v>
      </c>
      <c r="C28" s="2">
        <v>9184</v>
      </c>
      <c r="D28">
        <v>7591</v>
      </c>
      <c r="E28" s="3">
        <v>44566</v>
      </c>
      <c r="F28" s="9">
        <v>33378</v>
      </c>
      <c r="G28" s="37">
        <f>E28/IncidenceComplications!$G25</f>
        <v>4.8525696864111501</v>
      </c>
      <c r="H28" s="37">
        <f>F28/IncidenceComplications!$G25</f>
        <v>3.6343641114982579</v>
      </c>
      <c r="I28" s="37">
        <v>3.5743892112068401</v>
      </c>
      <c r="J28" s="37">
        <v>3.4409534418154002</v>
      </c>
      <c r="K28" s="54">
        <v>2598948.7759199999</v>
      </c>
      <c r="L28" s="49">
        <v>2126281.7810999998</v>
      </c>
      <c r="M28" s="69">
        <f>K28/IncidenceComplications!$G25</f>
        <v>282.98658274390243</v>
      </c>
      <c r="N28" s="69">
        <f>L28/IncidenceComplications!$G25</f>
        <v>231.52022877831007</v>
      </c>
      <c r="O28" s="49">
        <v>446.11851781106702</v>
      </c>
      <c r="P28" s="49">
        <v>595.48217436864195</v>
      </c>
      <c r="Q28" s="2">
        <v>316</v>
      </c>
      <c r="R28" s="102">
        <v>264</v>
      </c>
      <c r="S28" s="2">
        <v>1965</v>
      </c>
      <c r="T28" s="5">
        <v>1244</v>
      </c>
      <c r="U28" s="71">
        <f>S28/IncidenceComplications!M25</f>
        <v>6.2183544303797467</v>
      </c>
      <c r="V28" s="71">
        <f>T28/IncidenceComplications!M25</f>
        <v>3.9367088607594938</v>
      </c>
      <c r="W28" s="71">
        <v>4.6978325107837904</v>
      </c>
      <c r="X28" s="71">
        <v>3.8589143045948799</v>
      </c>
      <c r="Y28" s="54">
        <v>123043.59916</v>
      </c>
      <c r="Z28" s="51">
        <v>73887.581950000007</v>
      </c>
      <c r="AA28" s="68">
        <f>Y28/IncidenceComplications!M25</f>
        <v>389.3784783544304</v>
      </c>
      <c r="AB28" s="68">
        <f>Z28/IncidenceComplications!M25</f>
        <v>233.82146186708863</v>
      </c>
      <c r="AC28" s="68">
        <v>493.070994302516</v>
      </c>
      <c r="AD28" s="68">
        <v>366.50192384872997</v>
      </c>
      <c r="AE28" s="2">
        <v>413</v>
      </c>
      <c r="AF28" s="102">
        <v>343</v>
      </c>
      <c r="AG28" s="2">
        <v>2382</v>
      </c>
      <c r="AH28" s="5">
        <v>1623</v>
      </c>
      <c r="AI28" s="71">
        <f>AG28/IncidenceComplications!W25</f>
        <v>5.7675544794188864</v>
      </c>
      <c r="AJ28" s="71">
        <f>AH28/IncidenceComplications!W25</f>
        <v>3.9297820823244551</v>
      </c>
      <c r="AK28" s="71">
        <v>3.9676131920597202</v>
      </c>
      <c r="AL28" s="71">
        <v>3.8782952416651901</v>
      </c>
      <c r="AM28" s="72">
        <v>130897.70099</v>
      </c>
      <c r="AN28" s="68">
        <v>115950.37667</v>
      </c>
      <c r="AO28" s="68">
        <f>AM28/IncidenceComplications!W25</f>
        <v>316.9435859322034</v>
      </c>
      <c r="AP28" s="68">
        <f>AN28/IncidenceComplications!W25</f>
        <v>280.75151736077481</v>
      </c>
      <c r="AQ28" s="68">
        <v>381.06116109412102</v>
      </c>
      <c r="AR28" s="78">
        <v>886.69681377010602</v>
      </c>
    </row>
    <row r="29" spans="1:44" x14ac:dyDescent="0.25">
      <c r="A29" s="261"/>
      <c r="B29" s="6" t="s">
        <v>6</v>
      </c>
      <c r="C29" s="8">
        <v>2490</v>
      </c>
      <c r="D29" s="53">
        <v>2337</v>
      </c>
      <c r="E29" s="10">
        <v>15555</v>
      </c>
      <c r="F29" s="11">
        <v>12922</v>
      </c>
      <c r="G29" s="39">
        <f>E29/IncidenceComplications!$G26</f>
        <v>6.2444801284624649</v>
      </c>
      <c r="H29" s="39">
        <f>F29/IncidenceComplications!$G26</f>
        <v>5.1874749096748296</v>
      </c>
      <c r="I29" s="37">
        <v>4.1631444519277698</v>
      </c>
      <c r="J29" s="37">
        <v>3.83994275063906</v>
      </c>
      <c r="K29" s="55">
        <v>1043837.46161</v>
      </c>
      <c r="L29" s="50">
        <v>890489.16035999998</v>
      </c>
      <c r="M29" s="75">
        <f>K29/IncidenceComplications!$G26</f>
        <v>419.04354139301483</v>
      </c>
      <c r="N29" s="75">
        <f>L29/IncidenceComplications!$G26</f>
        <v>357.48260150943395</v>
      </c>
      <c r="O29" s="50">
        <v>739.88278018430003</v>
      </c>
      <c r="P29" s="50">
        <v>729.38855045181799</v>
      </c>
      <c r="Q29" s="2">
        <v>112</v>
      </c>
      <c r="R29" s="102">
        <v>106</v>
      </c>
      <c r="S29" s="8">
        <v>811</v>
      </c>
      <c r="T29" s="6">
        <v>607</v>
      </c>
      <c r="U29" s="39">
        <f>S29/IncidenceComplications!M26</f>
        <v>7.2410714285714288</v>
      </c>
      <c r="V29" s="39">
        <f>T29/IncidenceComplications!M26</f>
        <v>5.4196428571428568</v>
      </c>
      <c r="W29" s="39">
        <v>4.78030029535498</v>
      </c>
      <c r="X29" s="39">
        <v>3.85932448193793</v>
      </c>
      <c r="Y29" s="55">
        <v>70786.205560000002</v>
      </c>
      <c r="Z29" s="50">
        <v>37812.893839999997</v>
      </c>
      <c r="AA29" s="75">
        <f>Y29/IncidenceComplications!M26</f>
        <v>632.01969250000002</v>
      </c>
      <c r="AB29" s="75">
        <f>Z29/IncidenceComplications!M26</f>
        <v>337.61512357142857</v>
      </c>
      <c r="AC29" s="75">
        <v>1572.85441571151</v>
      </c>
      <c r="AD29" s="75">
        <v>514.87141718688702</v>
      </c>
      <c r="AE29" s="8">
        <v>223</v>
      </c>
      <c r="AF29" s="53">
        <v>215</v>
      </c>
      <c r="AG29" s="8">
        <v>1502</v>
      </c>
      <c r="AH29" s="6">
        <v>1216</v>
      </c>
      <c r="AI29" s="39">
        <f>AG29/IncidenceComplications!W26</f>
        <v>6.7053571428571432</v>
      </c>
      <c r="AJ29" s="39">
        <f>AH29/IncidenceComplications!W26</f>
        <v>5.4285714285714288</v>
      </c>
      <c r="AK29" s="39">
        <v>4.47241348525466</v>
      </c>
      <c r="AL29" s="38">
        <v>3.7624872169424499</v>
      </c>
      <c r="AM29" s="72">
        <v>118638.34607</v>
      </c>
      <c r="AN29" s="68">
        <v>81926.519849999997</v>
      </c>
      <c r="AO29" s="75">
        <f>AM29/IncidenceComplications!W26</f>
        <v>529.63547352678574</v>
      </c>
      <c r="AP29" s="75">
        <f>AN29/IncidenceComplications!W26</f>
        <v>365.74339218749998</v>
      </c>
      <c r="AQ29" s="68">
        <v>1146.5399600339699</v>
      </c>
      <c r="AR29" s="78">
        <v>512.450993928103</v>
      </c>
    </row>
    <row r="30" spans="1:44" ht="15.75" thickBot="1" x14ac:dyDescent="0.3">
      <c r="A30" s="262"/>
      <c r="B30" s="15" t="s">
        <v>14</v>
      </c>
      <c r="C30" s="31">
        <f>SUM(C23:C29)</f>
        <v>22600</v>
      </c>
      <c r="D30" s="22">
        <f>SUM(D23:D29)</f>
        <v>18859</v>
      </c>
      <c r="E30" s="16">
        <f>SUM(E23:E29)</f>
        <v>104644</v>
      </c>
      <c r="F30" s="17">
        <f>SUM(F23:F29)</f>
        <v>77368</v>
      </c>
      <c r="G30" s="70">
        <f>E30/IncidenceComplications!$G27</f>
        <v>4.6300606167868681</v>
      </c>
      <c r="H30" s="70">
        <f>F30/IncidenceComplications!$G27</f>
        <v>3.4232113623291003</v>
      </c>
      <c r="I30" s="40">
        <f t="array" ref="I30">SQRT(AVERAGE(I23:I29^2))</f>
        <v>2.9568598018440451</v>
      </c>
      <c r="J30" s="40">
        <f t="array" ref="J30">SQRT(AVERAGE(J23:J29^2))</f>
        <v>2.7647635364231768</v>
      </c>
      <c r="K30" s="74">
        <f>SUM(K23:K29)</f>
        <v>6011224.2251300002</v>
      </c>
      <c r="L30" s="57">
        <f>SUM(L23:L29)</f>
        <v>4810589.5090899998</v>
      </c>
      <c r="M30" s="77">
        <f>K30/IncidenceComplications!$G27</f>
        <v>265.97160413831244</v>
      </c>
      <c r="N30" s="77">
        <f>L30/IncidenceComplications!$G27</f>
        <v>212.84852480376975</v>
      </c>
      <c r="O30" s="57">
        <f t="array" ref="O30">SQRT(AVERAGE(O23:O29^2))</f>
        <v>404.44154727578928</v>
      </c>
      <c r="P30" s="57">
        <f t="array" ref="P30">SQRT(AVERAGE(P23:P29^2))</f>
        <v>420.73526232183053</v>
      </c>
      <c r="Q30" s="103">
        <f>SUM(Q23:Q29)</f>
        <v>1561</v>
      </c>
      <c r="R30" s="104">
        <f>SUM(R23:R29)</f>
        <v>1377</v>
      </c>
      <c r="S30" s="66">
        <f>SUM(S23:S29)</f>
        <v>8132</v>
      </c>
      <c r="T30" s="67">
        <f>SUM(T23:T29)</f>
        <v>5191</v>
      </c>
      <c r="U30" s="70">
        <f>S30/IncidenceComplications!M27</f>
        <v>5.2094811018577838</v>
      </c>
      <c r="V30" s="70">
        <f>T30/IncidenceComplications!M27</f>
        <v>3.325432415118514</v>
      </c>
      <c r="W30" s="70">
        <f t="array" ref="W30">SQRT(AVERAGE(W23:W29^2))</f>
        <v>3.5124921187376366</v>
      </c>
      <c r="X30" s="70">
        <f t="array" ref="X30">SQRT(AVERAGE(X23:X29^2))</f>
        <v>2.942828104095526</v>
      </c>
      <c r="Y30" s="74">
        <f>SUM(Y23:Y29)</f>
        <v>491631.65214000002</v>
      </c>
      <c r="Z30" s="57">
        <f>SUM(Z23:Z29)</f>
        <v>307297.71976000001</v>
      </c>
      <c r="AA30" s="77">
        <f>Y30/IncidenceComplications!M27</f>
        <v>314.94660611146702</v>
      </c>
      <c r="AB30" s="77">
        <f>Z30/IncidenceComplications!M27</f>
        <v>196.85952579115951</v>
      </c>
      <c r="AC30" s="77">
        <f t="array" ref="AC30">SQRT(AVERAGE(AC23:AC29^2))</f>
        <v>705.39360350898471</v>
      </c>
      <c r="AD30" s="77">
        <f t="array" ref="AD30">SQRT(AVERAGE(AD23:AD29^2))</f>
        <v>322.29052428174032</v>
      </c>
      <c r="AE30" s="66">
        <f>SUM(AE23:AE29)</f>
        <v>1166</v>
      </c>
      <c r="AF30" s="99">
        <f>SUM(AF23:AF29)</f>
        <v>1020</v>
      </c>
      <c r="AG30" s="66">
        <f>SUM(AG23:AG29)</f>
        <v>6334</v>
      </c>
      <c r="AH30" s="67">
        <f>SUM(AH23:AH29)</f>
        <v>4376</v>
      </c>
      <c r="AI30" s="70">
        <f>AG30/IncidenceComplications!W27</f>
        <v>5.4275921165381318</v>
      </c>
      <c r="AJ30" s="70">
        <f>AH30/IncidenceComplications!W27</f>
        <v>3.7497857754927164</v>
      </c>
      <c r="AK30" s="70">
        <f t="array" ref="AK30">SQRT(AVERAGE(AK23:AK29^2))</f>
        <v>3.2510930761898389</v>
      </c>
      <c r="AL30" s="70">
        <f t="array" ref="AL30">SQRT(AVERAGE(AL23:AL29^2))</f>
        <v>2.8376009624592178</v>
      </c>
      <c r="AM30" s="74">
        <f>SUM(AM23:AM29)</f>
        <v>384276.43513999996</v>
      </c>
      <c r="AN30" s="57">
        <f>SUM(AN23:AN29)</f>
        <v>290837.10089</v>
      </c>
      <c r="AO30" s="77">
        <f>AM30/IncidenceComplications!W27</f>
        <v>329.28571991431016</v>
      </c>
      <c r="AP30" s="77">
        <f>AN30/IncidenceComplications!W27</f>
        <v>249.21773855184233</v>
      </c>
      <c r="AQ30" s="77">
        <f t="array" ref="AQ30">SQRT(AVERAGE(AQ23:AQ29^2))</f>
        <v>500.75836967155544</v>
      </c>
      <c r="AR30" s="80">
        <f t="array" ref="AR30">SQRT(AVERAGE(AR23:AR29^2))</f>
        <v>425.78545010585623</v>
      </c>
    </row>
    <row r="31" spans="1:44" ht="16.5" thickTop="1" thickBot="1" x14ac:dyDescent="0.3">
      <c r="A31" s="259" t="s">
        <v>14</v>
      </c>
      <c r="B31" s="259"/>
      <c r="C31" s="81">
        <f>SUM(C30,C22,C14)</f>
        <v>95076</v>
      </c>
      <c r="D31" s="82">
        <f>SUM(D30,D22,D14)</f>
        <v>79899</v>
      </c>
      <c r="E31" s="81">
        <f>SUM(E30,E22,E14)</f>
        <v>437126</v>
      </c>
      <c r="F31" s="82">
        <f>SUM(F30,F22,F14)</f>
        <v>329637</v>
      </c>
      <c r="G31" s="83">
        <f>E31/IncidenceComplications!$G28</f>
        <v>4.597019634237399</v>
      </c>
      <c r="H31" s="83">
        <f>F31/IncidenceComplications!$G28</f>
        <v>3.4666154865441849</v>
      </c>
      <c r="I31" s="83">
        <f>SQRT(AVERAGE(I14^2,I22^2,I30^2))</f>
        <v>2.9586558462847252</v>
      </c>
      <c r="J31" s="83">
        <f>SQRT(AVERAGE(J14^2,J22^2,J30^2))</f>
        <v>2.7777212359753123</v>
      </c>
      <c r="K31" s="84">
        <f>SUM(K30,K22,K14)</f>
        <v>24699632.593842499</v>
      </c>
      <c r="L31" s="85">
        <f>SUM(L30,L22,L14)</f>
        <v>19569700.153548103</v>
      </c>
      <c r="M31" s="86">
        <f>K31/IncidenceComplications!$G28</f>
        <v>259.7527852206091</v>
      </c>
      <c r="N31" s="86">
        <f>L31/IncidenceComplications!$G28</f>
        <v>205.80403783348339</v>
      </c>
      <c r="O31" s="85">
        <f>SQRT(AVERAGE(O14^2,O22^2,O30^2))</f>
        <v>387.41868290261959</v>
      </c>
      <c r="P31" s="85">
        <f>SQRT(AVERAGE(P14^2,P22^2,P30^2))</f>
        <v>387.41607657268804</v>
      </c>
      <c r="Q31" s="81">
        <f>SUM(Q30,Q22,Q14)</f>
        <v>6462</v>
      </c>
      <c r="R31" s="105">
        <f>SUM(R30,R22,R14)</f>
        <v>5781</v>
      </c>
      <c r="S31" s="81">
        <f>SUM(S14,S22,S30)</f>
        <v>33627</v>
      </c>
      <c r="T31" s="82">
        <f>SUM(T14,T22,T30)</f>
        <v>21759</v>
      </c>
      <c r="U31" s="83">
        <f>S31/IncidenceComplications!M28</f>
        <v>5.2038068709377905</v>
      </c>
      <c r="V31" s="83">
        <f>T31/IncidenceComplications!M28</f>
        <v>3.3672237697307335</v>
      </c>
      <c r="W31" s="83">
        <f>SQRT(AVERAGE(W14^2,W22^2,W30^2))</f>
        <v>3.3762492836434679</v>
      </c>
      <c r="X31" s="83">
        <f>SQRT(AVERAGE(X14^2,X22^2,X30^2))</f>
        <v>2.8483566803016775</v>
      </c>
      <c r="Y31" s="84">
        <f>SUM(Y14,Y22,Y30)</f>
        <v>1920067.8831766681</v>
      </c>
      <c r="Z31" s="85">
        <f>SUM(Z14,Z22,Z30)</f>
        <v>1267805.2071846267</v>
      </c>
      <c r="AA31" s="86">
        <f>Y31/IncidenceComplications!M28</f>
        <v>297.13213914835472</v>
      </c>
      <c r="AB31" s="86">
        <f>Z31/IncidenceComplications!M28</f>
        <v>196.19393487846281</v>
      </c>
      <c r="AC31" s="86">
        <f>SQRT(AVERAGE(AC14^2,AC22^2,AC30^2))</f>
        <v>521.46225492525207</v>
      </c>
      <c r="AD31" s="86">
        <f>SQRT(AVERAGE(AD14^2,AD22^2,AD30^2))</f>
        <v>300.49227546109478</v>
      </c>
      <c r="AE31" s="81">
        <f>SUM(AE14,AE22,AE30)</f>
        <v>4829</v>
      </c>
      <c r="AF31" s="105">
        <f>SUM(AF14,AF22,AF30)</f>
        <v>4227</v>
      </c>
      <c r="AG31" s="81">
        <f>SUM(AG14,AG22,AG30)</f>
        <v>26720</v>
      </c>
      <c r="AH31" s="82">
        <f>SUM(AH14,AH22,AH30)</f>
        <v>18081</v>
      </c>
      <c r="AI31" s="83">
        <f>AG31/IncidenceComplications!W28</f>
        <v>5.5298013245033113</v>
      </c>
      <c r="AJ31" s="83">
        <f>AH31/IncidenceComplications!W28</f>
        <v>3.7419288079470197</v>
      </c>
      <c r="AK31" s="83">
        <f>SQRT(AVERAGE(AK14^2,AK22^2,AK30^2))</f>
        <v>3.3180678608448178</v>
      </c>
      <c r="AL31" s="83">
        <f>SQRT(AVERAGE(AL14^2,AL22^2,AL30^2))</f>
        <v>2.8237050455606996</v>
      </c>
      <c r="AM31" s="84">
        <f>SUM(AM14,AM22,AM30)</f>
        <v>1582176.0143527582</v>
      </c>
      <c r="AN31" s="85">
        <f>SUM(AN14,AN22,AN30)</f>
        <v>1153059.429872083</v>
      </c>
      <c r="AO31" s="86">
        <f>AM31/IncidenceComplications!W28</f>
        <v>327.4370890630708</v>
      </c>
      <c r="AP31" s="86">
        <f>AN31/IncidenceComplications!W28</f>
        <v>238.62984889736816</v>
      </c>
      <c r="AQ31" s="86">
        <f>SQRT(AVERAGE(AQ14^2,AQ22^2,AQ30^2))</f>
        <v>512.96608864513894</v>
      </c>
      <c r="AR31" s="97">
        <f>SQRT(AVERAGE(AR14^2,AR22^2,AR30^2))</f>
        <v>483.12979463206074</v>
      </c>
    </row>
    <row r="32" spans="1:44" x14ac:dyDescent="0.25">
      <c r="A32" s="273" t="s">
        <v>35</v>
      </c>
      <c r="B32" s="5" t="s">
        <v>0</v>
      </c>
      <c r="C32" s="3">
        <f t="shared" ref="C32:F38" si="0">SUM(C7,C15,C23)</f>
        <v>1692</v>
      </c>
      <c r="D32" s="9">
        <f t="shared" si="0"/>
        <v>1601</v>
      </c>
      <c r="E32" s="3">
        <f t="shared" si="0"/>
        <v>6362</v>
      </c>
      <c r="F32" s="9">
        <f t="shared" si="0"/>
        <v>4702</v>
      </c>
      <c r="G32" s="71">
        <f>E32/IncidenceComplications!$G29</f>
        <v>3.7578263437684583</v>
      </c>
      <c r="H32" s="71">
        <f>F32/IncidenceComplications!$G29</f>
        <v>2.7773183697578263</v>
      </c>
      <c r="I32" s="71">
        <f t="shared" ref="I32:J38" si="1">SQRT(AVERAGE(I7^2,I15^2,I23^2))</f>
        <v>2.1313581259685699</v>
      </c>
      <c r="J32" s="71">
        <f t="shared" si="1"/>
        <v>1.9287443874895511</v>
      </c>
      <c r="K32" s="54">
        <f t="shared" ref="K32:L38" si="2">SUM(K7,K15,K23)</f>
        <v>417802.44586525403</v>
      </c>
      <c r="L32" s="51">
        <f t="shared" si="2"/>
        <v>336563.8188022236</v>
      </c>
      <c r="M32" s="68">
        <f>K32/IncidenceComplications!$G29</f>
        <v>246.78230706748613</v>
      </c>
      <c r="N32" s="68">
        <f>L32/IncidenceComplications!$G29</f>
        <v>198.79729403557212</v>
      </c>
      <c r="O32" s="68">
        <f t="shared" ref="O32:P38" si="3">SQRT(AVERAGE(O7^2,O15^2,O23^2))</f>
        <v>232.13576480644767</v>
      </c>
      <c r="P32" s="68">
        <f t="shared" si="3"/>
        <v>186.92082473271211</v>
      </c>
      <c r="Q32" s="3">
        <f t="shared" ref="Q32:T38" si="4">SUM(Q7,Q15,Q23)</f>
        <v>487</v>
      </c>
      <c r="R32" s="106">
        <f t="shared" si="4"/>
        <v>470</v>
      </c>
      <c r="S32" s="3">
        <f t="shared" si="4"/>
        <v>2226</v>
      </c>
      <c r="T32" s="9">
        <f t="shared" si="4"/>
        <v>1433</v>
      </c>
      <c r="U32" s="71">
        <f>S32/IncidenceComplications!M29</f>
        <v>4.5708418891170428</v>
      </c>
      <c r="V32" s="71">
        <f>T32/IncidenceComplications!M29</f>
        <v>2.9425051334702257</v>
      </c>
      <c r="W32" s="71">
        <f t="shared" ref="W32:X38" si="5">SQRT(AVERAGE(W7^2,W15^2,W23^2))</f>
        <v>2.37982786864402</v>
      </c>
      <c r="X32" s="71">
        <f t="shared" si="5"/>
        <v>1.9964171188483426</v>
      </c>
      <c r="Y32" s="54">
        <f t="shared" ref="Y32:Z38" si="6">SUM(Y7,Y15,Y23)</f>
        <v>144837.6734131632</v>
      </c>
      <c r="Z32" s="51">
        <f t="shared" si="6"/>
        <v>102224.54924229301</v>
      </c>
      <c r="AA32" s="68">
        <f>Y32/IncidenceComplications!M29</f>
        <v>297.40795362045833</v>
      </c>
      <c r="AB32" s="68">
        <f>Z32/IncidenceComplications!M29</f>
        <v>209.90667195542713</v>
      </c>
      <c r="AC32" s="68">
        <f t="shared" ref="AC32:AD38" si="7">SQRT(AVERAGE(AC7^2,AC15^2,AC23^2))</f>
        <v>314.69740912327654</v>
      </c>
      <c r="AD32" s="68">
        <f t="shared" si="7"/>
        <v>241.29235804807917</v>
      </c>
      <c r="AE32" s="3">
        <f t="shared" ref="AE32:AH38" si="8">SUM(AE7,AE15,AE23)</f>
        <v>212</v>
      </c>
      <c r="AF32" s="106">
        <f t="shared" si="8"/>
        <v>205</v>
      </c>
      <c r="AG32" s="3">
        <f t="shared" si="8"/>
        <v>959</v>
      </c>
      <c r="AH32" s="9">
        <f t="shared" si="8"/>
        <v>633</v>
      </c>
      <c r="AI32" s="71">
        <f>AG32/IncidenceComplications!W29</f>
        <v>4.502347417840376</v>
      </c>
      <c r="AJ32" s="71">
        <f>AH32/IncidenceComplications!W29</f>
        <v>2.971830985915493</v>
      </c>
      <c r="AK32" s="71">
        <f t="shared" ref="AK32:AL38" si="9">SQRT(AVERAGE(AK7^2,AK15^2,AK23^2))</f>
        <v>2.4611132303721264</v>
      </c>
      <c r="AL32" s="71">
        <f t="shared" si="9"/>
        <v>1.8586861287537475</v>
      </c>
      <c r="AM32" s="54">
        <f t="shared" ref="AM32:AN38" si="10">SUM(AM7,AM15,AM23)</f>
        <v>63482.212702758297</v>
      </c>
      <c r="AN32" s="51">
        <f t="shared" si="10"/>
        <v>45543.469439140797</v>
      </c>
      <c r="AO32" s="68">
        <f>AM32/IncidenceComplications!W29</f>
        <v>298.03855728994506</v>
      </c>
      <c r="AP32" s="68">
        <f>AN32/IncidenceComplications!W29</f>
        <v>213.81910534807886</v>
      </c>
      <c r="AQ32" s="68">
        <f t="shared" ref="AQ32:AR38" si="11">SQRT(AVERAGE(AQ7^2,AQ15^2,AQ23^2))</f>
        <v>362.20348645072954</v>
      </c>
      <c r="AR32" s="78">
        <f t="shared" si="11"/>
        <v>124.4612703880517</v>
      </c>
    </row>
    <row r="33" spans="1:52" x14ac:dyDescent="0.25">
      <c r="A33" s="261"/>
      <c r="B33" s="5" t="s">
        <v>1</v>
      </c>
      <c r="C33" s="3">
        <f t="shared" si="0"/>
        <v>6324</v>
      </c>
      <c r="D33" s="9">
        <f t="shared" si="0"/>
        <v>5984</v>
      </c>
      <c r="E33" s="3">
        <f t="shared" si="0"/>
        <v>24345</v>
      </c>
      <c r="F33" s="9">
        <f t="shared" si="0"/>
        <v>19210</v>
      </c>
      <c r="G33" s="71">
        <f>E33/IncidenceComplications!$G30</f>
        <v>3.8496204933586338</v>
      </c>
      <c r="H33" s="71">
        <f>F33/IncidenceComplications!$G30</f>
        <v>3.0376344086021505</v>
      </c>
      <c r="I33" s="71">
        <f t="shared" si="1"/>
        <v>2.2646795133206776</v>
      </c>
      <c r="J33" s="71">
        <f t="shared" si="1"/>
        <v>2.1030314457677619</v>
      </c>
      <c r="K33" s="54">
        <f t="shared" si="2"/>
        <v>1396587.9426007569</v>
      </c>
      <c r="L33" s="51">
        <f t="shared" si="2"/>
        <v>1104196.6787124129</v>
      </c>
      <c r="M33" s="68">
        <f>K33/IncidenceComplications!$G30</f>
        <v>220.83933311207414</v>
      </c>
      <c r="N33" s="68">
        <f>L33/IncidenceComplications!$G30</f>
        <v>174.60415539411969</v>
      </c>
      <c r="O33" s="68">
        <f t="shared" si="3"/>
        <v>330.68166279879949</v>
      </c>
      <c r="P33" s="68">
        <f t="shared" si="3"/>
        <v>209.35830654959216</v>
      </c>
      <c r="Q33" s="3">
        <f t="shared" si="4"/>
        <v>2122</v>
      </c>
      <c r="R33" s="106">
        <f t="shared" si="4"/>
        <v>2023</v>
      </c>
      <c r="S33" s="3">
        <f t="shared" si="4"/>
        <v>9852</v>
      </c>
      <c r="T33" s="9">
        <f t="shared" si="4"/>
        <v>6819</v>
      </c>
      <c r="U33" s="71">
        <f>S33/IncidenceComplications!M30</f>
        <v>4.6427898209236567</v>
      </c>
      <c r="V33" s="71">
        <f>T33/IncidenceComplications!M30</f>
        <v>3.2134778510838831</v>
      </c>
      <c r="W33" s="71">
        <f t="shared" si="5"/>
        <v>2.5751468518003664</v>
      </c>
      <c r="X33" s="71">
        <f t="shared" si="5"/>
        <v>2.1782111802014787</v>
      </c>
      <c r="Y33" s="54">
        <f t="shared" si="6"/>
        <v>546525.70056524698</v>
      </c>
      <c r="Z33" s="51">
        <f t="shared" si="6"/>
        <v>386700.52740308928</v>
      </c>
      <c r="AA33" s="68">
        <f>Y33/IncidenceComplications!M30</f>
        <v>257.55216803263289</v>
      </c>
      <c r="AB33" s="68">
        <f>Z33/IncidenceComplications!M30</f>
        <v>182.23399029363301</v>
      </c>
      <c r="AC33" s="68">
        <f t="shared" si="7"/>
        <v>239.14902546031809</v>
      </c>
      <c r="AD33" s="68">
        <f t="shared" si="7"/>
        <v>231.00205393485447</v>
      </c>
      <c r="AE33" s="3">
        <f t="shared" si="8"/>
        <v>726</v>
      </c>
      <c r="AF33" s="106">
        <f t="shared" si="8"/>
        <v>699</v>
      </c>
      <c r="AG33" s="3">
        <f t="shared" si="8"/>
        <v>3335</v>
      </c>
      <c r="AH33" s="9">
        <f t="shared" si="8"/>
        <v>2402</v>
      </c>
      <c r="AI33" s="71">
        <f>AG33/IncidenceComplications!W30</f>
        <v>4.5936639118457299</v>
      </c>
      <c r="AJ33" s="71">
        <f>AH33/IncidenceComplications!W30</f>
        <v>3.3085399449035813</v>
      </c>
      <c r="AK33" s="71">
        <f t="shared" si="9"/>
        <v>2.7167856315160281</v>
      </c>
      <c r="AL33" s="71">
        <f t="shared" si="9"/>
        <v>2.2052157546320634</v>
      </c>
      <c r="AM33" s="54">
        <f t="shared" si="10"/>
        <v>187797.02660677198</v>
      </c>
      <c r="AN33" s="51">
        <f t="shared" si="10"/>
        <v>137968.64214597331</v>
      </c>
      <c r="AO33" s="68">
        <f>AM33/IncidenceComplications!W30</f>
        <v>258.67359036745449</v>
      </c>
      <c r="AP33" s="68">
        <f>AN33/IncidenceComplications!W30</f>
        <v>190.03945199169877</v>
      </c>
      <c r="AQ33" s="68">
        <f t="shared" si="11"/>
        <v>260.42902532967804</v>
      </c>
      <c r="AR33" s="78">
        <f t="shared" si="11"/>
        <v>159.98848578960539</v>
      </c>
    </row>
    <row r="34" spans="1:52" x14ac:dyDescent="0.25">
      <c r="A34" s="261"/>
      <c r="B34" s="5" t="s">
        <v>2</v>
      </c>
      <c r="C34" s="3">
        <f t="shared" si="0"/>
        <v>4859</v>
      </c>
      <c r="D34" s="9">
        <f t="shared" si="0"/>
        <v>4179</v>
      </c>
      <c r="E34" s="3">
        <f t="shared" si="0"/>
        <v>17048</v>
      </c>
      <c r="F34" s="9">
        <f t="shared" si="0"/>
        <v>12653</v>
      </c>
      <c r="G34" s="71">
        <f>E34/IncidenceComplications!$G31</f>
        <v>3.5078189300411524</v>
      </c>
      <c r="H34" s="71">
        <f>F34/IncidenceComplications!$G31</f>
        <v>2.6034979423868312</v>
      </c>
      <c r="I34" s="71">
        <f t="shared" si="1"/>
        <v>2.1941204258165006</v>
      </c>
      <c r="J34" s="71">
        <f t="shared" si="1"/>
        <v>2.1430361807984131</v>
      </c>
      <c r="K34" s="54">
        <f t="shared" si="2"/>
        <v>933961.64133703802</v>
      </c>
      <c r="L34" s="51">
        <f t="shared" si="2"/>
        <v>754383.71001608099</v>
      </c>
      <c r="M34" s="68">
        <f>K34/IncidenceComplications!$G31</f>
        <v>192.17317722984322</v>
      </c>
      <c r="N34" s="68">
        <f>L34/IncidenceComplications!$G31</f>
        <v>155.22298560001667</v>
      </c>
      <c r="O34" s="68">
        <f t="shared" si="3"/>
        <v>297.5569237538661</v>
      </c>
      <c r="P34" s="68">
        <f t="shared" si="3"/>
        <v>268.59515048835846</v>
      </c>
      <c r="Q34" s="3">
        <f t="shared" si="4"/>
        <v>778</v>
      </c>
      <c r="R34" s="106">
        <f t="shared" si="4"/>
        <v>682</v>
      </c>
      <c r="S34" s="3">
        <f t="shared" si="4"/>
        <v>3504</v>
      </c>
      <c r="T34" s="9">
        <f t="shared" si="4"/>
        <v>2125</v>
      </c>
      <c r="U34" s="71">
        <f>S34/IncidenceComplications!M31</f>
        <v>4.5038560411311055</v>
      </c>
      <c r="V34" s="71">
        <f>T34/IncidenceComplications!M31</f>
        <v>2.7313624678663238</v>
      </c>
      <c r="W34" s="71">
        <f t="shared" si="5"/>
        <v>2.4617057720838198</v>
      </c>
      <c r="X34" s="71">
        <f t="shared" si="5"/>
        <v>2.1633356862810138</v>
      </c>
      <c r="Y34" s="54">
        <f t="shared" si="6"/>
        <v>182305.8233434188</v>
      </c>
      <c r="Z34" s="51">
        <f t="shared" si="6"/>
        <v>130853.42868392321</v>
      </c>
      <c r="AA34" s="68">
        <f>Y34/IncidenceComplications!M31</f>
        <v>234.32625108408587</v>
      </c>
      <c r="AB34" s="68">
        <f>Z34/IncidenceComplications!M31</f>
        <v>168.19206771712496</v>
      </c>
      <c r="AC34" s="68">
        <f t="shared" si="7"/>
        <v>427.97695705933967</v>
      </c>
      <c r="AD34" s="68">
        <f t="shared" si="7"/>
        <v>316.98575419834958</v>
      </c>
      <c r="AE34" s="3">
        <f t="shared" si="8"/>
        <v>324</v>
      </c>
      <c r="AF34" s="106">
        <f t="shared" si="8"/>
        <v>285</v>
      </c>
      <c r="AG34" s="3">
        <f t="shared" si="8"/>
        <v>1353</v>
      </c>
      <c r="AH34" s="9">
        <f t="shared" si="8"/>
        <v>833</v>
      </c>
      <c r="AI34" s="71">
        <f>AG34/IncidenceComplications!W31</f>
        <v>4.1759259259259256</v>
      </c>
      <c r="AJ34" s="71">
        <f>AH34/IncidenceComplications!W31</f>
        <v>2.5709876543209877</v>
      </c>
      <c r="AK34" s="71">
        <f t="shared" si="9"/>
        <v>2.6416633909488016</v>
      </c>
      <c r="AL34" s="71">
        <f t="shared" si="9"/>
        <v>1.9326066580093832</v>
      </c>
      <c r="AM34" s="54">
        <f t="shared" si="10"/>
        <v>68532.767898264501</v>
      </c>
      <c r="AN34" s="51">
        <f t="shared" si="10"/>
        <v>50516.076687966503</v>
      </c>
      <c r="AO34" s="68">
        <f>AM34/IncidenceComplications!W31</f>
        <v>211.52088857489045</v>
      </c>
      <c r="AP34" s="68">
        <f>AN34/IncidenceComplications!W31</f>
        <v>155.91381693816822</v>
      </c>
      <c r="AQ34" s="68">
        <f t="shared" si="11"/>
        <v>194.23989987634204</v>
      </c>
      <c r="AR34" s="78">
        <f t="shared" si="11"/>
        <v>294.67040153562357</v>
      </c>
    </row>
    <row r="35" spans="1:52" x14ac:dyDescent="0.25">
      <c r="A35" s="261"/>
      <c r="B35" s="5" t="s">
        <v>3</v>
      </c>
      <c r="C35" s="3">
        <f t="shared" si="0"/>
        <v>8403</v>
      </c>
      <c r="D35" s="9">
        <f t="shared" si="0"/>
        <v>6769</v>
      </c>
      <c r="E35" s="3">
        <f t="shared" si="0"/>
        <v>30736</v>
      </c>
      <c r="F35" s="9">
        <f t="shared" si="0"/>
        <v>21067</v>
      </c>
      <c r="G35" s="71">
        <f>E35/IncidenceComplications!$G32</f>
        <v>3.6568709101725165</v>
      </c>
      <c r="H35" s="71">
        <f>F35/IncidenceComplications!$G32</f>
        <v>2.5064842355740629</v>
      </c>
      <c r="I35" s="71">
        <f t="shared" si="1"/>
        <v>2.5950424874869857</v>
      </c>
      <c r="J35" s="71">
        <f t="shared" si="1"/>
        <v>2.3843821623197008</v>
      </c>
      <c r="K35" s="54">
        <f t="shared" si="2"/>
        <v>1712909.695184181</v>
      </c>
      <c r="L35" s="51">
        <f t="shared" si="2"/>
        <v>1245429.0901076661</v>
      </c>
      <c r="M35" s="68">
        <f>K35/IncidenceComplications!$G32</f>
        <v>203.7965134068032</v>
      </c>
      <c r="N35" s="68">
        <f>L35/IncidenceComplications!$G32</f>
        <v>148.1771671752131</v>
      </c>
      <c r="O35" s="68">
        <f t="shared" si="3"/>
        <v>350.7010350498839</v>
      </c>
      <c r="P35" s="68">
        <f t="shared" si="3"/>
        <v>277.71567565083524</v>
      </c>
      <c r="Q35" s="3">
        <f t="shared" si="4"/>
        <v>609</v>
      </c>
      <c r="R35" s="106">
        <f t="shared" si="4"/>
        <v>499</v>
      </c>
      <c r="S35" s="3">
        <f t="shared" si="4"/>
        <v>2732</v>
      </c>
      <c r="T35" s="9">
        <f t="shared" si="4"/>
        <v>1565</v>
      </c>
      <c r="U35" s="71">
        <f>S35/IncidenceComplications!M32</f>
        <v>4.486042692939245</v>
      </c>
      <c r="V35" s="71">
        <f>T35/IncidenceComplications!M32</f>
        <v>2.5697865353037765</v>
      </c>
      <c r="W35" s="71">
        <f t="shared" si="5"/>
        <v>2.7310407997445152</v>
      </c>
      <c r="X35" s="71">
        <f t="shared" si="5"/>
        <v>2.5877764593971597</v>
      </c>
      <c r="Y35" s="54">
        <f t="shared" si="6"/>
        <v>152266.24746835278</v>
      </c>
      <c r="Z35" s="51">
        <f t="shared" si="6"/>
        <v>97181.762970755197</v>
      </c>
      <c r="AA35" s="68">
        <f>Y35/IncidenceComplications!M32</f>
        <v>250.02667892997172</v>
      </c>
      <c r="AB35" s="68">
        <f>Z35/IncidenceComplications!M32</f>
        <v>159.57596546922036</v>
      </c>
      <c r="AC35" s="68">
        <f t="shared" si="7"/>
        <v>332.87342624923025</v>
      </c>
      <c r="AD35" s="68">
        <f t="shared" si="7"/>
        <v>285.20778605825228</v>
      </c>
      <c r="AE35" s="3">
        <f t="shared" si="8"/>
        <v>385</v>
      </c>
      <c r="AF35" s="106">
        <f t="shared" si="8"/>
        <v>316</v>
      </c>
      <c r="AG35" s="3">
        <f t="shared" si="8"/>
        <v>1640</v>
      </c>
      <c r="AH35" s="9">
        <f t="shared" si="8"/>
        <v>986</v>
      </c>
      <c r="AI35" s="71">
        <f>AG35/IncidenceComplications!W32</f>
        <v>4.2597402597402594</v>
      </c>
      <c r="AJ35" s="71">
        <f>AH35/IncidenceComplications!W32</f>
        <v>2.5610389610389612</v>
      </c>
      <c r="AK35" s="71">
        <f t="shared" si="9"/>
        <v>2.913366687919229</v>
      </c>
      <c r="AL35" s="71">
        <f t="shared" si="9"/>
        <v>2.6129814298461076</v>
      </c>
      <c r="AM35" s="54">
        <f t="shared" si="10"/>
        <v>91397.134395707108</v>
      </c>
      <c r="AN35" s="51">
        <f t="shared" si="10"/>
        <v>57314.303264177201</v>
      </c>
      <c r="AO35" s="68">
        <f>AM35/IncidenceComplications!W32</f>
        <v>237.39515427456391</v>
      </c>
      <c r="AP35" s="68">
        <f>AN35/IncidenceComplications!W32</f>
        <v>148.86832016669402</v>
      </c>
      <c r="AQ35" s="68">
        <f t="shared" si="11"/>
        <v>307.44843603347977</v>
      </c>
      <c r="AR35" s="78">
        <f t="shared" si="11"/>
        <v>271.11742994496041</v>
      </c>
    </row>
    <row r="36" spans="1:52" x14ac:dyDescent="0.25">
      <c r="A36" s="261"/>
      <c r="B36" s="5" t="s">
        <v>4</v>
      </c>
      <c r="C36" s="3">
        <f t="shared" si="0"/>
        <v>25056</v>
      </c>
      <c r="D36" s="9">
        <f t="shared" si="0"/>
        <v>20021</v>
      </c>
      <c r="E36" s="3">
        <f t="shared" si="0"/>
        <v>109367</v>
      </c>
      <c r="F36" s="9">
        <f t="shared" si="0"/>
        <v>78001</v>
      </c>
      <c r="G36" s="71">
        <f>E36/IncidenceComplications!$G33</f>
        <v>4.3643800630511995</v>
      </c>
      <c r="H36" s="71">
        <f>F36/IncidenceComplications!$G33</f>
        <v>3.1126940420607365</v>
      </c>
      <c r="I36" s="71">
        <f t="shared" si="1"/>
        <v>3.1847269988214961</v>
      </c>
      <c r="J36" s="71">
        <f t="shared" si="1"/>
        <v>3.0395851097627862</v>
      </c>
      <c r="K36" s="54">
        <f t="shared" si="2"/>
        <v>5521371.6561965402</v>
      </c>
      <c r="L36" s="51">
        <f t="shared" si="2"/>
        <v>4146714.1702205604</v>
      </c>
      <c r="M36" s="68">
        <f>K36/IncidenceComplications!$G33</f>
        <v>220.33487594064169</v>
      </c>
      <c r="N36" s="68">
        <f>L36/IncidenceComplications!$G33</f>
        <v>165.47803863763758</v>
      </c>
      <c r="O36" s="68">
        <f t="shared" si="3"/>
        <v>309.85043637706474</v>
      </c>
      <c r="P36" s="68">
        <f t="shared" si="3"/>
        <v>306.52017981840635</v>
      </c>
      <c r="Q36" s="3">
        <f t="shared" si="4"/>
        <v>917</v>
      </c>
      <c r="R36" s="106">
        <f t="shared" si="4"/>
        <v>766</v>
      </c>
      <c r="S36" s="3">
        <f t="shared" si="4"/>
        <v>5154</v>
      </c>
      <c r="T36" s="9">
        <f t="shared" si="4"/>
        <v>3266</v>
      </c>
      <c r="U36" s="71">
        <f>S36/IncidenceComplications!M33</f>
        <v>5.6205016357688109</v>
      </c>
      <c r="V36" s="71">
        <f>T36/IncidenceComplications!M33</f>
        <v>3.5616139585605233</v>
      </c>
      <c r="W36" s="71">
        <f t="shared" si="5"/>
        <v>3.7683242540990944</v>
      </c>
      <c r="X36" s="71">
        <f t="shared" si="5"/>
        <v>3.2189968737327552</v>
      </c>
      <c r="Y36" s="54">
        <f t="shared" si="6"/>
        <v>259468.5024079484</v>
      </c>
      <c r="Z36" s="51">
        <f t="shared" si="6"/>
        <v>167681.16079268159</v>
      </c>
      <c r="AA36" s="68">
        <f>Y36/IncidenceComplications!M33</f>
        <v>282.95365584290994</v>
      </c>
      <c r="AB36" s="68">
        <f>Z36/IncidenceComplications!M33</f>
        <v>182.8584087161195</v>
      </c>
      <c r="AC36" s="68">
        <f t="shared" si="7"/>
        <v>422.59757221121436</v>
      </c>
      <c r="AD36" s="68">
        <f t="shared" si="7"/>
        <v>267.44038333560479</v>
      </c>
      <c r="AE36" s="3">
        <f t="shared" si="8"/>
        <v>658</v>
      </c>
      <c r="AF36" s="106">
        <f t="shared" si="8"/>
        <v>527</v>
      </c>
      <c r="AG36" s="3">
        <f t="shared" si="8"/>
        <v>3495</v>
      </c>
      <c r="AH36" s="9">
        <f t="shared" si="8"/>
        <v>2118</v>
      </c>
      <c r="AI36" s="71">
        <f>AG36/IncidenceComplications!W33</f>
        <v>5.311550151975684</v>
      </c>
      <c r="AJ36" s="71">
        <f>AH36/IncidenceComplications!W33</f>
        <v>3.2188449848024314</v>
      </c>
      <c r="AK36" s="71">
        <f t="shared" si="9"/>
        <v>3.6275738530324615</v>
      </c>
      <c r="AL36" s="71">
        <f t="shared" si="9"/>
        <v>3.0714889333290549</v>
      </c>
      <c r="AM36" s="54">
        <f t="shared" si="10"/>
        <v>175143.21624837932</v>
      </c>
      <c r="AN36" s="51">
        <f t="shared" si="10"/>
        <v>121696.1925523728</v>
      </c>
      <c r="AO36" s="68">
        <f>AM36/IncidenceComplications!W33</f>
        <v>266.17510068142752</v>
      </c>
      <c r="AP36" s="68">
        <f>AN36/IncidenceComplications!W33</f>
        <v>184.94862090026263</v>
      </c>
      <c r="AQ36" s="68">
        <f t="shared" si="11"/>
        <v>319.57056652912286</v>
      </c>
      <c r="AR36" s="78">
        <f t="shared" si="11"/>
        <v>298.71985136471773</v>
      </c>
    </row>
    <row r="37" spans="1:52" x14ac:dyDescent="0.25">
      <c r="A37" s="261"/>
      <c r="B37" s="5" t="s">
        <v>5</v>
      </c>
      <c r="C37" s="3">
        <f t="shared" si="0"/>
        <v>39529</v>
      </c>
      <c r="D37" s="9">
        <f t="shared" si="0"/>
        <v>32738</v>
      </c>
      <c r="E37" s="3">
        <f t="shared" si="0"/>
        <v>191272</v>
      </c>
      <c r="F37" s="9">
        <f t="shared" si="0"/>
        <v>146345</v>
      </c>
      <c r="G37" s="71">
        <f>E37/IncidenceComplications!$G34</f>
        <v>4.8385317851812504</v>
      </c>
      <c r="H37" s="71">
        <f>F37/IncidenceComplications!$G34</f>
        <v>3.7020313171941006</v>
      </c>
      <c r="I37" s="71">
        <f t="shared" si="1"/>
        <v>3.5603832389853096</v>
      </c>
      <c r="J37" s="71">
        <f t="shared" si="1"/>
        <v>3.4377903136829167</v>
      </c>
      <c r="K37" s="54">
        <f t="shared" si="2"/>
        <v>10987149.659326199</v>
      </c>
      <c r="L37" s="51">
        <f t="shared" si="2"/>
        <v>8858219.4801455103</v>
      </c>
      <c r="M37" s="68">
        <f>K37/IncidenceComplications!$G34</f>
        <v>277.93755936672989</v>
      </c>
      <c r="N37" s="68">
        <f>L37/IncidenceComplications!$G34</f>
        <v>224.08285851978221</v>
      </c>
      <c r="O37" s="68">
        <f t="shared" si="3"/>
        <v>426.14456838119736</v>
      </c>
      <c r="P37" s="68">
        <f t="shared" si="3"/>
        <v>488.02773174526249</v>
      </c>
      <c r="Q37" s="3">
        <f t="shared" si="4"/>
        <v>1215</v>
      </c>
      <c r="R37" s="106">
        <f t="shared" si="4"/>
        <v>1023</v>
      </c>
      <c r="S37" s="3">
        <f t="shared" si="4"/>
        <v>7583</v>
      </c>
      <c r="T37" s="9">
        <f t="shared" si="4"/>
        <v>4696</v>
      </c>
      <c r="U37" s="71">
        <f>S37/IncidenceComplications!M34</f>
        <v>6.2411522633744854</v>
      </c>
      <c r="V37" s="71">
        <f>T37/IncidenceComplications!M34</f>
        <v>3.8650205761316871</v>
      </c>
      <c r="W37" s="71">
        <f t="shared" si="5"/>
        <v>4.2465291716906499</v>
      </c>
      <c r="X37" s="71">
        <f t="shared" si="5"/>
        <v>3.5745343275827404</v>
      </c>
      <c r="Y37" s="54">
        <f t="shared" si="6"/>
        <v>455664.00020247197</v>
      </c>
      <c r="Z37" s="51">
        <f t="shared" si="6"/>
        <v>271535.3147553255</v>
      </c>
      <c r="AA37" s="68">
        <f>Y37/IncidenceComplications!M34</f>
        <v>375.03209893207571</v>
      </c>
      <c r="AB37" s="68">
        <f>Z37/IncidenceComplications!M34</f>
        <v>223.48585576569999</v>
      </c>
      <c r="AC37" s="68">
        <f t="shared" si="7"/>
        <v>568.66640117588202</v>
      </c>
      <c r="AD37" s="68">
        <f t="shared" si="7"/>
        <v>331.07047003534478</v>
      </c>
      <c r="AE37" s="3">
        <f t="shared" si="8"/>
        <v>1712</v>
      </c>
      <c r="AF37" s="106">
        <f t="shared" si="8"/>
        <v>1431</v>
      </c>
      <c r="AG37" s="3">
        <f t="shared" si="8"/>
        <v>10136</v>
      </c>
      <c r="AH37" s="9">
        <f t="shared" si="8"/>
        <v>6726</v>
      </c>
      <c r="AI37" s="71">
        <f>AG37/IncidenceComplications!W34</f>
        <v>5.9205607476635516</v>
      </c>
      <c r="AJ37" s="71">
        <f>AH37/IncidenceComplications!W34</f>
        <v>3.9287383177570092</v>
      </c>
      <c r="AK37" s="71">
        <f t="shared" si="9"/>
        <v>3.954521176817321</v>
      </c>
      <c r="AL37" s="71">
        <f t="shared" si="9"/>
        <v>3.5519196149306782</v>
      </c>
      <c r="AM37" s="54">
        <f t="shared" si="10"/>
        <v>562819.07311669202</v>
      </c>
      <c r="AN37" s="51">
        <f t="shared" si="10"/>
        <v>425508.21895903465</v>
      </c>
      <c r="AO37" s="68">
        <f>AM37/IncidenceComplications!W34</f>
        <v>328.74945859619862</v>
      </c>
      <c r="AP37" s="68">
        <f>AN37/IncidenceComplications!W34</f>
        <v>248.54452041999687</v>
      </c>
      <c r="AQ37" s="68">
        <f t="shared" si="11"/>
        <v>419.81259026848534</v>
      </c>
      <c r="AR37" s="78">
        <f t="shared" si="11"/>
        <v>597.38334041209112</v>
      </c>
    </row>
    <row r="38" spans="1:52" x14ac:dyDescent="0.25">
      <c r="A38" s="261"/>
      <c r="B38" s="6" t="s">
        <v>6</v>
      </c>
      <c r="C38" s="3">
        <f t="shared" si="0"/>
        <v>9213</v>
      </c>
      <c r="D38" s="11">
        <f t="shared" si="0"/>
        <v>8607</v>
      </c>
      <c r="E38" s="3">
        <f t="shared" si="0"/>
        <v>57996</v>
      </c>
      <c r="F38" s="11">
        <f t="shared" si="0"/>
        <v>47659</v>
      </c>
      <c r="G38" s="39">
        <f>E38/IncidenceComplications!$G35</f>
        <v>6.2922859932732997</v>
      </c>
      <c r="H38" s="39">
        <f>F38/IncidenceComplications!$G35</f>
        <v>5.1707714006726704</v>
      </c>
      <c r="I38" s="39">
        <f t="shared" si="1"/>
        <v>4.1517255855582409</v>
      </c>
      <c r="J38" s="39">
        <f t="shared" si="1"/>
        <v>3.8120845256649138</v>
      </c>
      <c r="K38" s="54">
        <f t="shared" si="2"/>
        <v>3729849.5533325281</v>
      </c>
      <c r="L38" s="50">
        <f t="shared" si="2"/>
        <v>3124193.2055436494</v>
      </c>
      <c r="M38" s="75">
        <f>K38/IncidenceComplications!$G35</f>
        <v>404.67066869182253</v>
      </c>
      <c r="N38" s="75">
        <f>L38/IncidenceComplications!$G35</f>
        <v>338.95987908686658</v>
      </c>
      <c r="O38" s="75">
        <f t="shared" si="3"/>
        <v>631.09226795895052</v>
      </c>
      <c r="P38" s="75">
        <f t="shared" si="3"/>
        <v>700.33790452349206</v>
      </c>
      <c r="Q38" s="3">
        <f t="shared" si="4"/>
        <v>334</v>
      </c>
      <c r="R38" s="107">
        <f t="shared" si="4"/>
        <v>318</v>
      </c>
      <c r="S38" s="3">
        <f t="shared" si="4"/>
        <v>2576</v>
      </c>
      <c r="T38" s="11">
        <f t="shared" si="4"/>
        <v>1855</v>
      </c>
      <c r="U38" s="39">
        <f>S38/IncidenceComplications!M35</f>
        <v>7.7125748502994016</v>
      </c>
      <c r="V38" s="39">
        <f>T38/IncidenceComplications!M35</f>
        <v>5.5538922155688626</v>
      </c>
      <c r="W38" s="39">
        <f t="shared" si="5"/>
        <v>4.6633245368704515</v>
      </c>
      <c r="X38" s="39">
        <f t="shared" si="5"/>
        <v>3.6804646937626275</v>
      </c>
      <c r="Y38" s="54">
        <f t="shared" si="6"/>
        <v>178999.9357760658</v>
      </c>
      <c r="Z38" s="50">
        <f t="shared" si="6"/>
        <v>111628.46333655901</v>
      </c>
      <c r="AA38" s="75">
        <f>Y38/IncidenceComplications!M35</f>
        <v>535.92795142534669</v>
      </c>
      <c r="AB38" s="75">
        <f>Z38/IncidenceComplications!M35</f>
        <v>334.21695609748207</v>
      </c>
      <c r="AC38" s="75">
        <f t="shared" si="7"/>
        <v>975.34316522584083</v>
      </c>
      <c r="AD38" s="75">
        <f t="shared" si="7"/>
        <v>396.90028715902395</v>
      </c>
      <c r="AE38" s="3">
        <f t="shared" si="8"/>
        <v>812</v>
      </c>
      <c r="AF38" s="107">
        <f t="shared" si="8"/>
        <v>764</v>
      </c>
      <c r="AG38" s="3">
        <f t="shared" si="8"/>
        <v>5802</v>
      </c>
      <c r="AH38" s="11">
        <f t="shared" si="8"/>
        <v>4383</v>
      </c>
      <c r="AI38" s="39">
        <f>AG38/IncidenceComplications!W35</f>
        <v>7.1277641277641282</v>
      </c>
      <c r="AJ38" s="39">
        <f>AH38/IncidenceComplications!W35</f>
        <v>5.3845208845208843</v>
      </c>
      <c r="AK38" s="39">
        <f t="shared" si="9"/>
        <v>4.4006132615144082</v>
      </c>
      <c r="AL38" s="39">
        <f t="shared" si="9"/>
        <v>3.8578054609817554</v>
      </c>
      <c r="AM38" s="54">
        <f t="shared" si="10"/>
        <v>433004.58338418498</v>
      </c>
      <c r="AN38" s="50">
        <f t="shared" si="10"/>
        <v>314512.52682341798</v>
      </c>
      <c r="AO38" s="75">
        <f>AM38/IncidenceComplications!W35</f>
        <v>531.94666263413387</v>
      </c>
      <c r="AP38" s="75">
        <f>AN38/IncidenceComplications!W35</f>
        <v>386.37902558159459</v>
      </c>
      <c r="AQ38" s="75">
        <f t="shared" si="11"/>
        <v>1110.0915171304273</v>
      </c>
      <c r="AR38" s="79">
        <f t="shared" si="11"/>
        <v>993.16572355990445</v>
      </c>
    </row>
    <row r="39" spans="1:52" ht="15.75" thickBot="1" x14ac:dyDescent="0.3">
      <c r="A39" s="262"/>
      <c r="B39" s="15" t="s">
        <v>14</v>
      </c>
      <c r="C39" s="16">
        <f>SUM(C32:C38)</f>
        <v>95076</v>
      </c>
      <c r="D39" s="22">
        <f>SUM(D32:D38)</f>
        <v>79899</v>
      </c>
      <c r="E39" s="16">
        <f>SUM(E32:E38)</f>
        <v>437126</v>
      </c>
      <c r="F39" s="22">
        <f>SUM(F32:F38)</f>
        <v>329637</v>
      </c>
      <c r="G39" s="40">
        <f>E39/IncidenceComplications!$G36</f>
        <v>4.597019634237399</v>
      </c>
      <c r="H39" s="40">
        <f>F39/IncidenceComplications!$G36</f>
        <v>3.4666154865441849</v>
      </c>
      <c r="I39" s="40">
        <f t="array" ref="I39">SQRT(AVERAGE(I32:I38^2))</f>
        <v>2.9586558462847252</v>
      </c>
      <c r="J39" s="40">
        <f t="array" ref="J39">SQRT(AVERAGE(J32:J38^2))</f>
        <v>2.7777212359753127</v>
      </c>
      <c r="K39" s="74">
        <f>SUM(K32:K38)</f>
        <v>24699632.593842499</v>
      </c>
      <c r="L39" s="52">
        <f>SUM(L32:L38)</f>
        <v>19569700.153548103</v>
      </c>
      <c r="M39" s="77">
        <f>K39/IncidenceComplications!$G36</f>
        <v>259.7527852206091</v>
      </c>
      <c r="N39" s="77">
        <f>L39/IncidenceComplications!$G36</f>
        <v>205.80403783348339</v>
      </c>
      <c r="O39" s="77">
        <f t="array" ref="O39">SQRT(AVERAGE(O32:O38^2))</f>
        <v>387.41868290261959</v>
      </c>
      <c r="P39" s="77">
        <f t="array" ref="P39">SQRT(AVERAGE(P32:P38^2))</f>
        <v>387.41607657268798</v>
      </c>
      <c r="Q39" s="16">
        <f>SUM(Q32:Q38)</f>
        <v>6462</v>
      </c>
      <c r="R39" s="108">
        <f>SUM(R32:R38)</f>
        <v>5781</v>
      </c>
      <c r="S39" s="16">
        <f>SUM(S32:S38)</f>
        <v>33627</v>
      </c>
      <c r="T39" s="22">
        <f>SUM(T32:T38)</f>
        <v>21759</v>
      </c>
      <c r="U39" s="40">
        <f>S39/IncidenceComplications!M36</f>
        <v>5.2038068709377905</v>
      </c>
      <c r="V39" s="40">
        <f>T39/IncidenceComplications!M36</f>
        <v>3.3672237697307335</v>
      </c>
      <c r="W39" s="40">
        <f t="array" ref="W39">SQRT(AVERAGE(W32:W38^2))</f>
        <v>3.3762492836434679</v>
      </c>
      <c r="X39" s="40">
        <f t="array" ref="X39">SQRT(AVERAGE(X32:X38^2))</f>
        <v>2.8483566803016775</v>
      </c>
      <c r="Y39" s="74">
        <f>SUM(Y32:Y38)</f>
        <v>1920067.8831766678</v>
      </c>
      <c r="Z39" s="52">
        <f>SUM(Z32:Z38)</f>
        <v>1267805.207184627</v>
      </c>
      <c r="AA39" s="77">
        <f>Y39/IncidenceComplications!M36</f>
        <v>297.13213914835467</v>
      </c>
      <c r="AB39" s="77">
        <f>Z39/IncidenceComplications!M36</f>
        <v>196.19393487846284</v>
      </c>
      <c r="AC39" s="77">
        <f t="array" ref="AC39">SQRT(AVERAGE(AC32:AC38^2))</f>
        <v>521.46225492525207</v>
      </c>
      <c r="AD39" s="77">
        <f t="array" ref="AD39">SQRT(AVERAGE(AD32:AD38^2))</f>
        <v>300.49227546109472</v>
      </c>
      <c r="AE39" s="16">
        <f>SUM(AE32:AE38)</f>
        <v>4829</v>
      </c>
      <c r="AF39" s="108">
        <f>SUM(AF32:AF38)</f>
        <v>4227</v>
      </c>
      <c r="AG39" s="16">
        <f>SUM(AG32:AG38)</f>
        <v>26720</v>
      </c>
      <c r="AH39" s="22">
        <f>SUM(AH32:AH38)</f>
        <v>18081</v>
      </c>
      <c r="AI39" s="70">
        <f>AG39/IncidenceComplications!W36</f>
        <v>5.5298013245033113</v>
      </c>
      <c r="AJ39" s="70">
        <f>AH39/IncidenceComplications!W36</f>
        <v>3.7419288079470197</v>
      </c>
      <c r="AK39" s="40">
        <f t="array" ref="AK39">SQRT(AVERAGE(AK32:AK38^2))</f>
        <v>3.3180678608448178</v>
      </c>
      <c r="AL39" s="40">
        <f t="array" ref="AL39">SQRT(AVERAGE(AL32:AL38^2))</f>
        <v>2.8237050455606996</v>
      </c>
      <c r="AM39" s="74">
        <f>SUM(AM32:AM38)</f>
        <v>1582176.0143527584</v>
      </c>
      <c r="AN39" s="52">
        <f>SUM(AN32:AN38)</f>
        <v>1153059.4298720832</v>
      </c>
      <c r="AO39" s="77">
        <f>AM39/IncidenceComplications!W36</f>
        <v>327.43708906307086</v>
      </c>
      <c r="AP39" s="77">
        <f>AN39/IncidenceComplications!W36</f>
        <v>238.62984889736822</v>
      </c>
      <c r="AQ39" s="77">
        <f t="array" ref="AQ39">SQRT(AVERAGE(AQ32:AQ38^2))</f>
        <v>512.96608864513883</v>
      </c>
      <c r="AR39" s="80">
        <f t="array" ref="AR39">SQRT(AVERAGE(AR32:AR38^2))</f>
        <v>483.12979463206079</v>
      </c>
    </row>
    <row r="40" spans="1:52" ht="15.75" thickTop="1" x14ac:dyDescent="0.25"/>
    <row r="43" spans="1:52" ht="15" customHeight="1" x14ac:dyDescent="0.25">
      <c r="A43" s="272" t="s">
        <v>70</v>
      </c>
      <c r="B43" s="271"/>
      <c r="C43" s="190"/>
      <c r="D43" s="191"/>
      <c r="E43" s="264" t="s">
        <v>34</v>
      </c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65"/>
      <c r="U43" s="277" t="s">
        <v>22</v>
      </c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9"/>
      <c r="AK43" s="264" t="s">
        <v>23</v>
      </c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65"/>
    </row>
    <row r="44" spans="1:52" x14ac:dyDescent="0.25">
      <c r="A44" s="272"/>
      <c r="B44" s="271"/>
      <c r="C44" s="275" t="s">
        <v>48</v>
      </c>
      <c r="D44" s="276"/>
      <c r="E44" s="264" t="s">
        <v>29</v>
      </c>
      <c r="F44" s="255"/>
      <c r="G44" s="255"/>
      <c r="H44" s="255"/>
      <c r="I44" s="255"/>
      <c r="J44" s="255"/>
      <c r="K44" s="255"/>
      <c r="L44" s="265"/>
      <c r="M44" s="264" t="s">
        <v>30</v>
      </c>
      <c r="N44" s="255"/>
      <c r="O44" s="255"/>
      <c r="P44" s="255"/>
      <c r="Q44" s="255"/>
      <c r="R44" s="255"/>
      <c r="S44" s="255"/>
      <c r="T44" s="265"/>
      <c r="U44" s="264" t="s">
        <v>47</v>
      </c>
      <c r="V44" s="255"/>
      <c r="W44" s="255"/>
      <c r="X44" s="255"/>
      <c r="Y44" s="255"/>
      <c r="Z44" s="255"/>
      <c r="AA44" s="255"/>
      <c r="AB44" s="265"/>
      <c r="AC44" s="264" t="s">
        <v>30</v>
      </c>
      <c r="AD44" s="255"/>
      <c r="AE44" s="255"/>
      <c r="AF44" s="255"/>
      <c r="AG44" s="255"/>
      <c r="AH44" s="255"/>
      <c r="AI44" s="255"/>
      <c r="AJ44" s="265"/>
      <c r="AK44" s="264" t="s">
        <v>37</v>
      </c>
      <c r="AL44" s="255"/>
      <c r="AM44" s="255"/>
      <c r="AN44" s="255"/>
      <c r="AO44" s="255"/>
      <c r="AP44" s="255"/>
      <c r="AQ44" s="255"/>
      <c r="AR44" s="265"/>
      <c r="AS44" s="264" t="s">
        <v>30</v>
      </c>
      <c r="AT44" s="255"/>
      <c r="AU44" s="255"/>
      <c r="AV44" s="255"/>
      <c r="AW44" s="255"/>
      <c r="AX44" s="255"/>
      <c r="AY44" s="255"/>
      <c r="AZ44" s="265"/>
    </row>
    <row r="45" spans="1:52" ht="15" customHeight="1" x14ac:dyDescent="0.25">
      <c r="A45" s="272"/>
      <c r="B45" s="271"/>
      <c r="C45" s="275"/>
      <c r="D45" s="276"/>
      <c r="E45" s="266" t="s">
        <v>16</v>
      </c>
      <c r="F45" s="267"/>
      <c r="G45" s="274"/>
      <c r="H45" s="264" t="s">
        <v>44</v>
      </c>
      <c r="I45" s="255"/>
      <c r="J45" s="255"/>
      <c r="K45" s="255"/>
      <c r="L45" s="265"/>
      <c r="M45" s="266" t="s">
        <v>16</v>
      </c>
      <c r="N45" s="267"/>
      <c r="O45" s="274"/>
      <c r="P45" s="264" t="s">
        <v>44</v>
      </c>
      <c r="Q45" s="255"/>
      <c r="R45" s="255"/>
      <c r="S45" s="255"/>
      <c r="T45" s="265"/>
      <c r="U45" s="266" t="s">
        <v>16</v>
      </c>
      <c r="V45" s="267"/>
      <c r="W45" s="274"/>
      <c r="X45" s="264" t="s">
        <v>44</v>
      </c>
      <c r="Y45" s="255"/>
      <c r="Z45" s="255"/>
      <c r="AA45" s="255"/>
      <c r="AB45" s="265"/>
      <c r="AC45" s="266" t="s">
        <v>16</v>
      </c>
      <c r="AD45" s="267"/>
      <c r="AE45" s="274"/>
      <c r="AF45" s="264" t="s">
        <v>44</v>
      </c>
      <c r="AG45" s="255"/>
      <c r="AH45" s="255"/>
      <c r="AI45" s="255"/>
      <c r="AJ45" s="265"/>
      <c r="AK45" s="266" t="s">
        <v>16</v>
      </c>
      <c r="AL45" s="267"/>
      <c r="AM45" s="267"/>
      <c r="AN45" s="255" t="s">
        <v>44</v>
      </c>
      <c r="AO45" s="255"/>
      <c r="AP45" s="255"/>
      <c r="AQ45" s="255"/>
      <c r="AR45" s="265"/>
      <c r="AS45" s="266" t="s">
        <v>16</v>
      </c>
      <c r="AT45" s="267"/>
      <c r="AU45" s="267"/>
      <c r="AV45" s="255" t="s">
        <v>44</v>
      </c>
      <c r="AW45" s="255"/>
      <c r="AX45" s="255"/>
      <c r="AY45" s="255"/>
      <c r="AZ45" s="265"/>
    </row>
    <row r="46" spans="1:52" x14ac:dyDescent="0.25">
      <c r="A46" s="6" t="s">
        <v>7</v>
      </c>
      <c r="B46" s="53" t="s">
        <v>8</v>
      </c>
      <c r="C46" s="6" t="s">
        <v>24</v>
      </c>
      <c r="D46" s="6" t="s">
        <v>25</v>
      </c>
      <c r="E46" s="149" t="s">
        <v>26</v>
      </c>
      <c r="F46" s="150" t="s">
        <v>27</v>
      </c>
      <c r="G46" s="151" t="s">
        <v>28</v>
      </c>
      <c r="H46" s="153" t="s">
        <v>42</v>
      </c>
      <c r="I46" s="151" t="s">
        <v>43</v>
      </c>
      <c r="J46" s="151" t="s">
        <v>32</v>
      </c>
      <c r="K46" s="151" t="s">
        <v>31</v>
      </c>
      <c r="L46" s="150" t="s">
        <v>46</v>
      </c>
      <c r="M46" s="149" t="s">
        <v>26</v>
      </c>
      <c r="N46" s="150" t="s">
        <v>27</v>
      </c>
      <c r="O46" s="151" t="s">
        <v>28</v>
      </c>
      <c r="P46" s="153" t="s">
        <v>42</v>
      </c>
      <c r="Q46" s="151" t="s">
        <v>43</v>
      </c>
      <c r="R46" s="151" t="s">
        <v>32</v>
      </c>
      <c r="S46" s="151" t="s">
        <v>31</v>
      </c>
      <c r="T46" s="150" t="s">
        <v>41</v>
      </c>
      <c r="U46" s="149" t="s">
        <v>26</v>
      </c>
      <c r="V46" s="150" t="s">
        <v>27</v>
      </c>
      <c r="W46" s="151" t="s">
        <v>28</v>
      </c>
      <c r="X46" s="153" t="s">
        <v>42</v>
      </c>
      <c r="Y46" s="151" t="s">
        <v>43</v>
      </c>
      <c r="Z46" s="151" t="s">
        <v>32</v>
      </c>
      <c r="AA46" s="151" t="s">
        <v>31</v>
      </c>
      <c r="AB46" s="150" t="s">
        <v>46</v>
      </c>
      <c r="AC46" s="149" t="s">
        <v>26</v>
      </c>
      <c r="AD46" s="150" t="s">
        <v>27</v>
      </c>
      <c r="AE46" s="151" t="s">
        <v>28</v>
      </c>
      <c r="AF46" s="153" t="s">
        <v>42</v>
      </c>
      <c r="AG46" s="151" t="s">
        <v>43</v>
      </c>
      <c r="AH46" s="151" t="s">
        <v>32</v>
      </c>
      <c r="AI46" s="151" t="s">
        <v>31</v>
      </c>
      <c r="AJ46" s="150" t="s">
        <v>41</v>
      </c>
      <c r="AK46" s="149" t="s">
        <v>26</v>
      </c>
      <c r="AL46" s="150" t="s">
        <v>27</v>
      </c>
      <c r="AM46" s="151" t="s">
        <v>28</v>
      </c>
      <c r="AN46" s="151" t="s">
        <v>42</v>
      </c>
      <c r="AO46" s="151" t="s">
        <v>43</v>
      </c>
      <c r="AP46" s="151" t="s">
        <v>32</v>
      </c>
      <c r="AQ46" s="151" t="s">
        <v>31</v>
      </c>
      <c r="AR46" s="150" t="s">
        <v>41</v>
      </c>
      <c r="AS46" s="149" t="s">
        <v>26</v>
      </c>
      <c r="AT46" s="150" t="s">
        <v>27</v>
      </c>
      <c r="AU46" s="151" t="s">
        <v>28</v>
      </c>
      <c r="AV46" s="151" t="s">
        <v>42</v>
      </c>
      <c r="AW46" s="151" t="s">
        <v>43</v>
      </c>
      <c r="AX46" s="151" t="s">
        <v>32</v>
      </c>
      <c r="AY46" s="151" t="s">
        <v>31</v>
      </c>
      <c r="AZ46" s="152" t="s">
        <v>41</v>
      </c>
    </row>
    <row r="47" spans="1:52" x14ac:dyDescent="0.25">
      <c r="A47" s="261">
        <v>2012</v>
      </c>
      <c r="B47" s="5" t="s">
        <v>0</v>
      </c>
      <c r="C47" s="121">
        <f>C7/IncidenceComplications!$G4</f>
        <v>1</v>
      </c>
      <c r="D47" s="116">
        <f>D7/IncidenceComplications!$G4</f>
        <v>0.93067226890756305</v>
      </c>
      <c r="E47" s="3">
        <f t="shared" ref="E47:E79" si="12">E7-F7</f>
        <v>483</v>
      </c>
      <c r="F47" s="37">
        <f t="shared" ref="F47:F79" si="13">G7-H7</f>
        <v>1.0147058823529411</v>
      </c>
      <c r="G47" s="37">
        <f t="shared" ref="G47:G79" si="14">SQRT(I7^2+J7^2)</f>
        <v>2.7206964727384295</v>
      </c>
      <c r="H47" s="146">
        <f>($C7-1)*$I7+($D7-1)*$J7/($C7+$D7-2)</f>
        <v>958.71517783659033</v>
      </c>
      <c r="I47" s="37">
        <f>ABS(F47)/(SQRT((I7/$C7)+(J7/$D7)))</f>
        <v>11.098296821594344</v>
      </c>
      <c r="J47" s="146">
        <f>(I7^2/$C7+J7^2/$D7)/((I7^2/$C7)/($C7-1)+(J7^2/$D7)/($D7-1))</f>
        <v>458.94632831592122</v>
      </c>
      <c r="K47" s="23">
        <f>_xlfn.T.INV.2T(0.05,J47)</f>
        <v>1.9651570982780517</v>
      </c>
      <c r="L47" s="26">
        <f t="shared" ref="L47:L79" si="15">_xlfn.T.DIST.2T(I47,J47)</f>
        <v>1.6485911163429709E-25</v>
      </c>
      <c r="M47" s="54">
        <f t="shared" ref="M47:M79" si="16">K7-L7</f>
        <v>29505.794498296411</v>
      </c>
      <c r="N47" s="49">
        <f t="shared" ref="N47:N79" si="17">M7-N7</f>
        <v>61.986963231715151</v>
      </c>
      <c r="O47" s="49">
        <f t="shared" ref="O47:O79" si="18">SQRT(O7^2+P7^2)</f>
        <v>338.25399351140942</v>
      </c>
      <c r="P47" s="146">
        <f t="shared" ref="P47:P79" si="19">($C7-1)*$O7+($D7-1)*$P7/($C7+$D7-2)</f>
        <v>147484.18277223728</v>
      </c>
      <c r="Q47" s="37">
        <f t="shared" ref="Q47:Q79" si="20">ABS(N47)/(SQRT((O7/$C7)+(P7/$D7)))</f>
        <v>63.40874802788246</v>
      </c>
      <c r="R47" s="146">
        <f t="shared" ref="R47:R79" si="21">(O7^2/$C7+P7^2/$D7)/((O7^2/$C7)/($C7-1)+(P7^2/$D7)/($D7-1))</f>
        <v>469.11761730006918</v>
      </c>
      <c r="S47" s="23">
        <f t="shared" ref="S47:S79" si="22">_xlfn.T.INV.2T(0.05,R47)</f>
        <v>1.9650349887745884</v>
      </c>
      <c r="T47" s="26">
        <f t="shared" ref="T47:T79" si="23">_xlfn.T.DIST.2T(Q47,R47)</f>
        <v>3.4335067414176184E-232</v>
      </c>
      <c r="U47" s="2">
        <f t="shared" ref="U47:U79" si="24">S7-T7</f>
        <v>228</v>
      </c>
      <c r="V47" s="37">
        <f t="shared" ref="V47:V79" si="25">U7-V7</f>
        <v>1.7272727272727275</v>
      </c>
      <c r="W47" s="37">
        <f t="shared" ref="W47:W79" si="26">SQRT(W7^2+X7^2)</f>
        <v>2.8266886747950597</v>
      </c>
      <c r="X47" s="146">
        <f t="shared" ref="X47:X79" si="27">($Q7-1)*$W7+($R7-1)*$X7/($Q7+$R7-2)</f>
        <v>295.53889491765358</v>
      </c>
      <c r="Y47" s="37">
        <f t="shared" ref="Y47:Y79" si="28">ABS(V47)/(SQRT((W7/$Q7)+(X7/$R7)))</f>
        <v>9.8524877776854893</v>
      </c>
      <c r="Z47" s="146">
        <f t="shared" ref="Z47:Z79" si="29">(W7^2/$Q7+X7^2/$R7)/((W7^2/$Q7)/($Q7-1)+(X7^2/$R7)/($R7-1))</f>
        <v>128.25355422357262</v>
      </c>
      <c r="AA47" s="23">
        <f t="shared" ref="AA47:AA79" si="30">_xlfn.T.INV.2T(0.05,Z47)</f>
        <v>1.9786708498378349</v>
      </c>
      <c r="AB47" s="26">
        <f t="shared" ref="AB47:AB79" si="31">_xlfn.T.DIST.2T(Y47,Z47)</f>
        <v>2.181346218675562E-17</v>
      </c>
      <c r="AC47" s="54">
        <f t="shared" ref="AC47:AC79" si="32">Y7-Z7</f>
        <v>14434.999893833199</v>
      </c>
      <c r="AD47" s="49">
        <f t="shared" ref="AD47:AD79" si="33">AA7-AB7</f>
        <v>109.35605980176669</v>
      </c>
      <c r="AE47" s="49">
        <f t="shared" ref="AE47:AE79" si="34">SQRT(AC7^2+AD7^2)</f>
        <v>443.68259170372153</v>
      </c>
      <c r="AF47" s="146">
        <f t="shared" ref="AF47:AF79" si="35">($Q7-1)*$AC7+($R7-1)*$AD7/($Q7+$R7-2)</f>
        <v>55219.354869591705</v>
      </c>
      <c r="AG47" s="37">
        <f t="shared" ref="AG47:AG79" si="36">ABS(AD47)/(SQRT((AC7/$Q7)+(AD7/$R7)))</f>
        <v>52.676549439250437</v>
      </c>
      <c r="AH47" s="146">
        <f t="shared" ref="AH47:AH79" si="37">(AC7^2/$Q7+AD7^2/$R7)/((AC7^2/$Q7)/($Q7-1)+(AD7^2/$R7)/($R7-1))</f>
        <v>130.23085872778285</v>
      </c>
      <c r="AI47" s="23">
        <f t="shared" ref="AI47:AI79" si="38">_xlfn.T.INV.2T(0.05,AH47)</f>
        <v>1.9783804054470222</v>
      </c>
      <c r="AJ47" s="26">
        <f t="shared" ref="AJ47:AJ79" si="39">_xlfn.T.DIST.2T(AG47,AH47)</f>
        <v>1.4371453331164837E-89</v>
      </c>
      <c r="AK47" s="2">
        <f t="shared" ref="AK47:AK79" si="40">AG7-AH7</f>
        <v>88</v>
      </c>
      <c r="AL47" s="37">
        <f t="shared" ref="AL47:AL79" si="41">AI7-AJ7</f>
        <v>1.4426229508196724</v>
      </c>
      <c r="AM47" s="37">
        <f t="shared" ref="AM47:AM79" si="42">SQRT(AK7^2+AL7^2)</f>
        <v>2.974389775318476</v>
      </c>
      <c r="AN47" s="146">
        <f t="shared" ref="AN47:AN79" si="43">($AE7-1)*$AK7+($AF7-1)*$AL7/($AE7+$AF7-2)</f>
        <v>151.73739760724428</v>
      </c>
      <c r="AO47" s="37">
        <f t="shared" ref="AO47:AO79" si="44">ABS(AL47)/(SQRT((AK7/$AE7)+(AL7/$AF7)))</f>
        <v>5.5267291997409718</v>
      </c>
      <c r="AP47" s="146">
        <f t="shared" ref="AP47:AP79" si="45">(AK7^2/$AE7+AL7^2/$AF7)/((AK7^2/$AE7)/($AE7-1)+(AL7^2/$AF7)/($AF7-1))</f>
        <v>59.403241238231004</v>
      </c>
      <c r="AQ47" s="23">
        <f t="shared" ref="AQ47:AQ79" si="46">_xlfn.T.INV.2T(0.05,AP47)</f>
        <v>2.0009953780882688</v>
      </c>
      <c r="AR47" s="26">
        <f t="shared" ref="AR47:AR79" si="47">_xlfn.T.DIST.2T(AO47,AP47)</f>
        <v>7.7686580309041353E-7</v>
      </c>
      <c r="AS47" s="54">
        <f t="shared" ref="AS47:AS79" si="48">AM7-AN7</f>
        <v>9567.8544827851001</v>
      </c>
      <c r="AT47" s="49">
        <f t="shared" ref="AT47:AT79" si="49">AO7-AP7</f>
        <v>156.85007348828034</v>
      </c>
      <c r="AU47" s="49">
        <f t="shared" ref="AU47:AU79" si="50">SQRT(AQ7^2+AR7^2)</f>
        <v>607.81339421334849</v>
      </c>
      <c r="AV47" s="146">
        <f t="shared" ref="AV47:AV79" si="51">($AE7-1)*$AQ7+($AF7-1)*$AR7/($AE7+$AF7-2)</f>
        <v>35845.912725776667</v>
      </c>
      <c r="AW47" s="37">
        <f t="shared" ref="AW47:AW79" si="52">ABS(AT47)/(SQRT((AQ7/$AE7)+(AR7/$AF7)))</f>
        <v>45.740603710532838</v>
      </c>
      <c r="AX47" s="146">
        <f t="shared" ref="AX47:AX79" si="53">(AQ7^2/$AE7+AR7^2/$AF7)/((AQ7^2/$AE7)/($AE7-1)+(AR7^2/$AF7)/($AF7-1))</f>
        <v>59.921137019161868</v>
      </c>
      <c r="AY47" s="23">
        <f t="shared" ref="AY47:AY79" si="54">_xlfn.T.INV.2T(0.05,AX47)</f>
        <v>2.0009953780882688</v>
      </c>
      <c r="AZ47" s="186">
        <f t="shared" ref="AZ47:AZ79" si="55">_xlfn.T.DIST.2T(AW47,AX47)</f>
        <v>8.841915737898376E-48</v>
      </c>
    </row>
    <row r="48" spans="1:52" x14ac:dyDescent="0.25">
      <c r="A48" s="261"/>
      <c r="B48" s="5" t="s">
        <v>1</v>
      </c>
      <c r="C48" s="121">
        <f>C8/IncidenceComplications!$G5</f>
        <v>1</v>
      </c>
      <c r="D48" s="116">
        <f>D8/IncidenceComplications!$G5</f>
        <v>0.94132985658409385</v>
      </c>
      <c r="E48" s="3">
        <f t="shared" si="12"/>
        <v>1182</v>
      </c>
      <c r="F48" s="37">
        <f t="shared" si="13"/>
        <v>0.77053455019556694</v>
      </c>
      <c r="G48" s="37">
        <f t="shared" si="14"/>
        <v>3.1200812851168003</v>
      </c>
      <c r="H48" s="146">
        <f t="shared" ref="H48:H79" si="56">($C8-1)*$I8+($D8-1)*$J8/($C8+$D8-2)</f>
        <v>3541.0871469904077</v>
      </c>
      <c r="I48" s="37">
        <f t="shared" ref="I48:I79" si="57">ABS(F48)/(SQRT((I8/$C8)+(J8/$D8)))</f>
        <v>14.166541699937255</v>
      </c>
      <c r="J48" s="146">
        <f t="shared" ref="J48:J79" si="58">(I8^2/$C8+J8^2/$D8)/((I8^2/$C8)/($C8-1)+(J8^2/$D8)/($D8-1))</f>
        <v>1489.5911629490422</v>
      </c>
      <c r="K48" s="23">
        <f t="shared" ref="K48:K79" si="59">_xlfn.T.INV.2T(0.05,J48)</f>
        <v>1.9615584559639363</v>
      </c>
      <c r="L48" s="26">
        <f t="shared" si="15"/>
        <v>7.8255984220668381E-43</v>
      </c>
      <c r="M48" s="54">
        <f t="shared" si="16"/>
        <v>57122.611751887947</v>
      </c>
      <c r="N48" s="49">
        <f t="shared" si="17"/>
        <v>37.237686930826584</v>
      </c>
      <c r="O48" s="49">
        <f t="shared" si="18"/>
        <v>336.4379592655585</v>
      </c>
      <c r="P48" s="146">
        <f t="shared" si="19"/>
        <v>339001.4586529478</v>
      </c>
      <c r="Q48" s="37">
        <f t="shared" si="20"/>
        <v>65.853935201213631</v>
      </c>
      <c r="R48" s="146">
        <f t="shared" si="21"/>
        <v>1479.2082019768079</v>
      </c>
      <c r="S48" s="23">
        <f t="shared" si="22"/>
        <v>1.9615692453800033</v>
      </c>
      <c r="T48" s="26">
        <f t="shared" si="23"/>
        <v>0</v>
      </c>
      <c r="U48" s="2">
        <f t="shared" si="24"/>
        <v>757</v>
      </c>
      <c r="V48" s="37">
        <f t="shared" si="25"/>
        <v>1.5323886639676112</v>
      </c>
      <c r="W48" s="37">
        <f t="shared" si="26"/>
        <v>3.3876978712792734</v>
      </c>
      <c r="X48" s="146">
        <f t="shared" si="27"/>
        <v>1289.0796593019852</v>
      </c>
      <c r="Y48" s="37">
        <f t="shared" si="28"/>
        <v>15.411296128327155</v>
      </c>
      <c r="Z48" s="146">
        <f t="shared" si="29"/>
        <v>482.23707810792644</v>
      </c>
      <c r="AA48" s="23">
        <f t="shared" si="30"/>
        <v>1.9648978809134752</v>
      </c>
      <c r="AB48" s="26">
        <f t="shared" si="31"/>
        <v>7.3758253770974872E-44</v>
      </c>
      <c r="AC48" s="54">
        <f t="shared" si="32"/>
        <v>39028.185826576708</v>
      </c>
      <c r="AD48" s="49">
        <f t="shared" si="33"/>
        <v>79.004424750155295</v>
      </c>
      <c r="AE48" s="49">
        <f t="shared" si="34"/>
        <v>403.88074575117821</v>
      </c>
      <c r="AF48" s="146">
        <f t="shared" si="35"/>
        <v>138517.02998297237</v>
      </c>
      <c r="AG48" s="37">
        <f t="shared" si="36"/>
        <v>72.502767134194784</v>
      </c>
      <c r="AH48" s="146">
        <f t="shared" si="37"/>
        <v>479.42686366538743</v>
      </c>
      <c r="AI48" s="23">
        <f t="shared" si="38"/>
        <v>1.9649288589987035</v>
      </c>
      <c r="AJ48" s="26">
        <f t="shared" si="39"/>
        <v>2.1887207894660538E-260</v>
      </c>
      <c r="AK48" s="2">
        <f t="shared" si="40"/>
        <v>220</v>
      </c>
      <c r="AL48" s="37">
        <f t="shared" si="41"/>
        <v>1.3924050632911391</v>
      </c>
      <c r="AM48" s="37">
        <f t="shared" si="42"/>
        <v>3.3344081687770943</v>
      </c>
      <c r="AN48" s="146">
        <f t="shared" si="43"/>
        <v>416.32974193603053</v>
      </c>
      <c r="AO48" s="37">
        <f t="shared" si="44"/>
        <v>8.0493058704126845</v>
      </c>
      <c r="AP48" s="146">
        <f t="shared" si="45"/>
        <v>155.46939455653626</v>
      </c>
      <c r="AQ48" s="23">
        <f t="shared" si="46"/>
        <v>1.9753871310551163</v>
      </c>
      <c r="AR48" s="26">
        <f t="shared" si="47"/>
        <v>2.0409107810622588E-13</v>
      </c>
      <c r="AS48" s="54">
        <f t="shared" si="48"/>
        <v>13475.369688779101</v>
      </c>
      <c r="AT48" s="49">
        <f t="shared" si="49"/>
        <v>85.287149928981648</v>
      </c>
      <c r="AU48" s="49">
        <f t="shared" si="50"/>
        <v>371.16971122909223</v>
      </c>
      <c r="AV48" s="146">
        <f t="shared" si="51"/>
        <v>53296.437003163694</v>
      </c>
      <c r="AW48" s="37">
        <f t="shared" si="52"/>
        <v>48.229367191130954</v>
      </c>
      <c r="AX48" s="146">
        <f t="shared" si="53"/>
        <v>156.30756624641643</v>
      </c>
      <c r="AY48" s="23">
        <f t="shared" si="54"/>
        <v>1.9752875077034502</v>
      </c>
      <c r="AZ48" s="186">
        <f t="shared" si="55"/>
        <v>1.2212161829325792E-95</v>
      </c>
    </row>
    <row r="49" spans="1:52" x14ac:dyDescent="0.25">
      <c r="A49" s="261"/>
      <c r="B49" s="5" t="s">
        <v>2</v>
      </c>
      <c r="C49" s="121">
        <f>C9/IncidenceComplications!$G6</f>
        <v>0.99909255898366611</v>
      </c>
      <c r="D49" s="116">
        <f>D9/IncidenceComplications!$G6</f>
        <v>0.85934664246823955</v>
      </c>
      <c r="E49" s="3">
        <f t="shared" si="12"/>
        <v>904</v>
      </c>
      <c r="F49" s="37">
        <f t="shared" si="13"/>
        <v>0.82032667876588006</v>
      </c>
      <c r="G49" s="37">
        <f t="shared" si="14"/>
        <v>3.1625791993417058</v>
      </c>
      <c r="H49" s="146">
        <f t="shared" si="56"/>
        <v>2424.3353226852923</v>
      </c>
      <c r="I49" s="37">
        <f t="shared" si="57"/>
        <v>12.371142568840053</v>
      </c>
      <c r="J49" s="146">
        <f t="shared" si="58"/>
        <v>1009.2645172704433</v>
      </c>
      <c r="K49" s="23">
        <f t="shared" si="59"/>
        <v>1.9623178706302484</v>
      </c>
      <c r="L49" s="26">
        <f t="shared" si="15"/>
        <v>7.8593441464519824E-33</v>
      </c>
      <c r="M49" s="54">
        <f t="shared" si="16"/>
        <v>31157.559212594002</v>
      </c>
      <c r="N49" s="49">
        <f t="shared" si="17"/>
        <v>28.273647198361147</v>
      </c>
      <c r="O49" s="49">
        <f t="shared" si="18"/>
        <v>370.99913985565269</v>
      </c>
      <c r="P49" s="146">
        <f t="shared" si="19"/>
        <v>278110.01956120081</v>
      </c>
      <c r="Q49" s="37">
        <f t="shared" si="20"/>
        <v>39.346823234657151</v>
      </c>
      <c r="R49" s="146">
        <f t="shared" si="21"/>
        <v>1006.1160425173732</v>
      </c>
      <c r="S49" s="23">
        <f t="shared" si="22"/>
        <v>1.9623248984783788</v>
      </c>
      <c r="T49" s="26">
        <f t="shared" si="23"/>
        <v>9.3087309017215316E-206</v>
      </c>
      <c r="U49" s="2">
        <f t="shared" si="24"/>
        <v>267</v>
      </c>
      <c r="V49" s="37">
        <f t="shared" si="25"/>
        <v>1.5892857142857149</v>
      </c>
      <c r="W49" s="37">
        <f t="shared" si="26"/>
        <v>3.3485981388179686</v>
      </c>
      <c r="X49" s="146">
        <f t="shared" si="27"/>
        <v>405.23042856737038</v>
      </c>
      <c r="Y49" s="37">
        <f t="shared" si="28"/>
        <v>9.1529995371062629</v>
      </c>
      <c r="Z49" s="146">
        <f t="shared" si="29"/>
        <v>155.56472644635491</v>
      </c>
      <c r="AA49" s="23">
        <f t="shared" si="30"/>
        <v>1.9753871310551163</v>
      </c>
      <c r="AB49" s="26">
        <f t="shared" si="31"/>
        <v>3.0532462144042575E-16</v>
      </c>
      <c r="AC49" s="54">
        <f t="shared" si="32"/>
        <v>2067.5452180036009</v>
      </c>
      <c r="AD49" s="49">
        <f t="shared" si="33"/>
        <v>12.306816773830946</v>
      </c>
      <c r="AE49" s="49">
        <f t="shared" si="34"/>
        <v>458.13624770844041</v>
      </c>
      <c r="AF49" s="146">
        <f t="shared" si="35"/>
        <v>34439.223113769403</v>
      </c>
      <c r="AG49" s="37">
        <f t="shared" si="36"/>
        <v>6.1475755454966503</v>
      </c>
      <c r="AH49" s="146">
        <f t="shared" si="37"/>
        <v>149.37804625157915</v>
      </c>
      <c r="AI49" s="23">
        <f t="shared" si="38"/>
        <v>1.976013177689196</v>
      </c>
      <c r="AJ49" s="26">
        <f t="shared" si="39"/>
        <v>6.8702548111300971E-9</v>
      </c>
      <c r="AK49" s="2">
        <f t="shared" si="40"/>
        <v>158</v>
      </c>
      <c r="AL49" s="37">
        <f t="shared" si="41"/>
        <v>1.7362637362637363</v>
      </c>
      <c r="AM49" s="37">
        <f t="shared" si="42"/>
        <v>3.4388784837335047</v>
      </c>
      <c r="AN49" s="146">
        <f t="shared" si="43"/>
        <v>253.86454766274326</v>
      </c>
      <c r="AO49" s="37">
        <f t="shared" si="44"/>
        <v>7.4388478900207309</v>
      </c>
      <c r="AP49" s="146">
        <f t="shared" si="45"/>
        <v>87.417955377620245</v>
      </c>
      <c r="AQ49" s="23">
        <f t="shared" si="46"/>
        <v>1.9876082815890745</v>
      </c>
      <c r="AR49" s="26">
        <f t="shared" si="47"/>
        <v>6.7383427600501574E-11</v>
      </c>
      <c r="AS49" s="54">
        <f t="shared" si="48"/>
        <v>-279.99657430710067</v>
      </c>
      <c r="AT49" s="49">
        <f t="shared" si="49"/>
        <v>-3.0768854319461525</v>
      </c>
      <c r="AU49" s="49">
        <f t="shared" si="50"/>
        <v>453.43052533258663</v>
      </c>
      <c r="AV49" s="146">
        <f t="shared" si="51"/>
        <v>13432.111583644191</v>
      </c>
      <c r="AW49" s="37">
        <f t="shared" si="52"/>
        <v>1.1867983418822639</v>
      </c>
      <c r="AX49" s="146">
        <f t="shared" si="53"/>
        <v>83.635887971745262</v>
      </c>
      <c r="AY49" s="23">
        <f t="shared" si="54"/>
        <v>1.9889597801751635</v>
      </c>
      <c r="AZ49" s="186">
        <f t="shared" si="55"/>
        <v>0.23869298485587545</v>
      </c>
    </row>
    <row r="50" spans="1:52" x14ac:dyDescent="0.25">
      <c r="A50" s="261"/>
      <c r="B50" s="5" t="s">
        <v>3</v>
      </c>
      <c r="C50" s="121">
        <f>C10/IncidenceComplications!$G7</f>
        <v>1</v>
      </c>
      <c r="D50" s="116">
        <f>D10/IncidenceComplications!$G7</f>
        <v>0.78789370078740162</v>
      </c>
      <c r="E50" s="3">
        <f t="shared" si="12"/>
        <v>2535</v>
      </c>
      <c r="F50" s="37">
        <f t="shared" si="13"/>
        <v>1.2475393700787403</v>
      </c>
      <c r="G50" s="37">
        <f t="shared" si="14"/>
        <v>3.5441501263696407</v>
      </c>
      <c r="H50" s="146">
        <f t="shared" si="56"/>
        <v>5304.0459382655799</v>
      </c>
      <c r="I50" s="37">
        <f t="shared" si="57"/>
        <v>23.652961044581822</v>
      </c>
      <c r="J50" s="146">
        <f t="shared" si="58"/>
        <v>1782.8349924991105</v>
      </c>
      <c r="K50" s="23">
        <f t="shared" si="59"/>
        <v>1.9612961146910941</v>
      </c>
      <c r="L50" s="26">
        <f t="shared" si="15"/>
        <v>8.5538130324081686E-108</v>
      </c>
      <c r="M50" s="54">
        <f t="shared" si="16"/>
        <v>135814.28987482103</v>
      </c>
      <c r="N50" s="49">
        <f t="shared" si="17"/>
        <v>66.837741080128467</v>
      </c>
      <c r="O50" s="49">
        <f t="shared" si="18"/>
        <v>471.38407872590881</v>
      </c>
      <c r="P50" s="146">
        <f t="shared" si="19"/>
        <v>784441.80454864469</v>
      </c>
      <c r="Q50" s="37">
        <f t="shared" si="20"/>
        <v>111.56841214639283</v>
      </c>
      <c r="R50" s="146">
        <f t="shared" si="21"/>
        <v>1840.862237358723</v>
      </c>
      <c r="S50" s="23">
        <f t="shared" si="22"/>
        <v>1.9612540964705663</v>
      </c>
      <c r="T50" s="26">
        <f t="shared" si="23"/>
        <v>0</v>
      </c>
      <c r="U50" s="2">
        <f t="shared" si="24"/>
        <v>245</v>
      </c>
      <c r="V50" s="37">
        <f t="shared" si="25"/>
        <v>1.5909090909090908</v>
      </c>
      <c r="W50" s="37">
        <f t="shared" si="26"/>
        <v>3.6338964340551239</v>
      </c>
      <c r="X50" s="146">
        <f t="shared" si="27"/>
        <v>378.78242119722614</v>
      </c>
      <c r="Y50" s="37">
        <f t="shared" si="28"/>
        <v>8.1924144231740428</v>
      </c>
      <c r="Z50" s="146">
        <f t="shared" si="29"/>
        <v>132.93855054643569</v>
      </c>
      <c r="AA50" s="23">
        <f t="shared" si="30"/>
        <v>1.978098841924135</v>
      </c>
      <c r="AB50" s="26">
        <f t="shared" si="31"/>
        <v>1.9397017095385843E-13</v>
      </c>
      <c r="AC50" s="54">
        <f t="shared" si="32"/>
        <v>5682.3307148909989</v>
      </c>
      <c r="AD50" s="49">
        <f t="shared" si="33"/>
        <v>36.898251395396102</v>
      </c>
      <c r="AE50" s="49">
        <f t="shared" si="34"/>
        <v>388.09361755324966</v>
      </c>
      <c r="AF50" s="146">
        <f t="shared" si="35"/>
        <v>30138.673386543298</v>
      </c>
      <c r="AG50" s="37">
        <f t="shared" si="36"/>
        <v>18.458281813159292</v>
      </c>
      <c r="AH50" s="146">
        <f t="shared" si="37"/>
        <v>127.55047226814456</v>
      </c>
      <c r="AI50" s="23">
        <f t="shared" si="38"/>
        <v>1.9788195347028543</v>
      </c>
      <c r="AJ50" s="26">
        <f t="shared" si="39"/>
        <v>9.2227421623931313E-38</v>
      </c>
      <c r="AK50" s="2">
        <f t="shared" si="40"/>
        <v>198</v>
      </c>
      <c r="AL50" s="37">
        <f t="shared" si="41"/>
        <v>1.65</v>
      </c>
      <c r="AM50" s="37">
        <f t="shared" si="42"/>
        <v>4.4764869679503922</v>
      </c>
      <c r="AN50" s="146">
        <f t="shared" si="43"/>
        <v>382.21432895261574</v>
      </c>
      <c r="AO50" s="37">
        <f t="shared" si="44"/>
        <v>6.7965288404324289</v>
      </c>
      <c r="AP50" s="146">
        <f t="shared" si="45"/>
        <v>105.32234539985886</v>
      </c>
      <c r="AQ50" s="23">
        <f t="shared" si="46"/>
        <v>1.9828152737950464</v>
      </c>
      <c r="AR50" s="26">
        <f t="shared" si="47"/>
        <v>6.6996926971744893E-10</v>
      </c>
      <c r="AS50" s="54">
        <f t="shared" si="48"/>
        <v>10657.795424850097</v>
      </c>
      <c r="AT50" s="49">
        <f t="shared" si="49"/>
        <v>88.814961873750804</v>
      </c>
      <c r="AU50" s="49">
        <f t="shared" si="50"/>
        <v>433.31494812323393</v>
      </c>
      <c r="AV50" s="146">
        <f t="shared" si="51"/>
        <v>37877.525575169617</v>
      </c>
      <c r="AW50" s="37">
        <f t="shared" si="52"/>
        <v>37.243940365270412</v>
      </c>
      <c r="AX50" s="146">
        <f t="shared" si="53"/>
        <v>105.8781368459524</v>
      </c>
      <c r="AY50" s="23">
        <f t="shared" si="54"/>
        <v>1.9828152737950464</v>
      </c>
      <c r="AZ50" s="186">
        <f t="shared" si="55"/>
        <v>2.4758650692654398E-62</v>
      </c>
    </row>
    <row r="51" spans="1:52" x14ac:dyDescent="0.25">
      <c r="A51" s="261"/>
      <c r="B51" s="5" t="s">
        <v>4</v>
      </c>
      <c r="C51" s="121">
        <f>C11/IncidenceComplications!$G8</f>
        <v>0.9998485078018482</v>
      </c>
      <c r="D51" s="116">
        <f>D11/IncidenceComplications!$G8</f>
        <v>0.77957885168913799</v>
      </c>
      <c r="E51" s="3">
        <f t="shared" si="12"/>
        <v>7914</v>
      </c>
      <c r="F51" s="37">
        <f t="shared" si="13"/>
        <v>1.198909256173307</v>
      </c>
      <c r="G51" s="37">
        <f t="shared" si="14"/>
        <v>4.2692555550054481</v>
      </c>
      <c r="H51" s="146">
        <f t="shared" si="56"/>
        <v>20181.432600125227</v>
      </c>
      <c r="I51" s="37">
        <f t="shared" si="57"/>
        <v>37.136433095072519</v>
      </c>
      <c r="J51" s="146">
        <f t="shared" si="58"/>
        <v>5712.721409237789</v>
      </c>
      <c r="K51" s="23">
        <f t="shared" si="59"/>
        <v>1.960379384652666</v>
      </c>
      <c r="L51" s="26">
        <f t="shared" si="15"/>
        <v>1.3342301591415348E-270</v>
      </c>
      <c r="M51" s="54">
        <f t="shared" si="16"/>
        <v>354874.41556650004</v>
      </c>
      <c r="N51" s="49">
        <f t="shared" si="17"/>
        <v>53.760705282002732</v>
      </c>
      <c r="O51" s="49">
        <f t="shared" si="18"/>
        <v>399.7787992497561</v>
      </c>
      <c r="P51" s="146">
        <f t="shared" si="19"/>
        <v>1891770.4522081667</v>
      </c>
      <c r="Q51" s="37">
        <f t="shared" si="20"/>
        <v>172.09837663273819</v>
      </c>
      <c r="R51" s="146">
        <f t="shared" si="21"/>
        <v>5714.1928917731602</v>
      </c>
      <c r="S51" s="23">
        <f t="shared" si="22"/>
        <v>1.9603792392251171</v>
      </c>
      <c r="T51" s="26">
        <f t="shared" si="23"/>
        <v>0</v>
      </c>
      <c r="U51" s="2">
        <f t="shared" si="24"/>
        <v>467</v>
      </c>
      <c r="V51" s="37">
        <f t="shared" si="25"/>
        <v>1.9539748953974896</v>
      </c>
      <c r="W51" s="37">
        <f t="shared" si="26"/>
        <v>4.664470711155178</v>
      </c>
      <c r="X51" s="146">
        <f t="shared" si="27"/>
        <v>833.41764231852824</v>
      </c>
      <c r="Y51" s="37">
        <f t="shared" si="28"/>
        <v>11.254109959202498</v>
      </c>
      <c r="Z51" s="146">
        <f t="shared" si="29"/>
        <v>216.81039894729031</v>
      </c>
      <c r="AA51" s="23">
        <f t="shared" si="30"/>
        <v>1.9710074720044739</v>
      </c>
      <c r="AB51" s="26">
        <f t="shared" si="31"/>
        <v>2.0111117614026485E-23</v>
      </c>
      <c r="AC51" s="54">
        <f t="shared" si="32"/>
        <v>24701.023143386003</v>
      </c>
      <c r="AD51" s="49">
        <f t="shared" si="33"/>
        <v>103.35156126939751</v>
      </c>
      <c r="AE51" s="49">
        <f t="shared" si="34"/>
        <v>411.76293943463577</v>
      </c>
      <c r="AF51" s="146">
        <f t="shared" si="35"/>
        <v>79650.10885627121</v>
      </c>
      <c r="AG51" s="37">
        <f t="shared" si="36"/>
        <v>64.009185151709829</v>
      </c>
      <c r="AH51" s="146">
        <f t="shared" si="37"/>
        <v>220.88616401590372</v>
      </c>
      <c r="AI51" s="23">
        <f t="shared" si="38"/>
        <v>1.9708055923849004</v>
      </c>
      <c r="AJ51" s="26">
        <f t="shared" si="39"/>
        <v>3.4356754246468254E-144</v>
      </c>
      <c r="AK51" s="2">
        <f t="shared" si="40"/>
        <v>422</v>
      </c>
      <c r="AL51" s="37">
        <f t="shared" si="41"/>
        <v>2.0191387559808609</v>
      </c>
      <c r="AM51" s="37">
        <f t="shared" si="42"/>
        <v>4.4945065229454748</v>
      </c>
      <c r="AN51" s="146">
        <f t="shared" si="43"/>
        <v>696.42382120923548</v>
      </c>
      <c r="AO51" s="37">
        <f t="shared" si="44"/>
        <v>10.882051161365652</v>
      </c>
      <c r="AP51" s="146">
        <f t="shared" si="45"/>
        <v>181.72985876562868</v>
      </c>
      <c r="AQ51" s="23">
        <f t="shared" si="46"/>
        <v>1.9731570421591595</v>
      </c>
      <c r="AR51" s="26">
        <f t="shared" si="47"/>
        <v>1.5381505602365102E-21</v>
      </c>
      <c r="AS51" s="54">
        <f t="shared" si="48"/>
        <v>19681.414273897695</v>
      </c>
      <c r="AT51" s="49">
        <f t="shared" si="49"/>
        <v>94.169446286591835</v>
      </c>
      <c r="AU51" s="49">
        <f t="shared" si="50"/>
        <v>433.71328415084253</v>
      </c>
      <c r="AV51" s="146">
        <f t="shared" si="51"/>
        <v>71520.837594651312</v>
      </c>
      <c r="AW51" s="37">
        <f t="shared" si="52"/>
        <v>52.086245764239514</v>
      </c>
      <c r="AX51" s="146">
        <f t="shared" si="53"/>
        <v>185.21520164185287</v>
      </c>
      <c r="AY51" s="23">
        <f t="shared" si="54"/>
        <v>1.972869946210895</v>
      </c>
      <c r="AZ51" s="186">
        <f t="shared" si="55"/>
        <v>1.7845839471028573E-112</v>
      </c>
    </row>
    <row r="52" spans="1:52" x14ac:dyDescent="0.25">
      <c r="A52" s="261"/>
      <c r="B52" s="5" t="s">
        <v>5</v>
      </c>
      <c r="C52" s="121">
        <f>C12/IncidenceComplications!$G9</f>
        <v>0.99989449250896811</v>
      </c>
      <c r="D52" s="116">
        <f>D12/IncidenceComplications!$G9</f>
        <v>0.79679257227263134</v>
      </c>
      <c r="E52" s="3">
        <f t="shared" si="12"/>
        <v>11829</v>
      </c>
      <c r="F52" s="37">
        <f t="shared" si="13"/>
        <v>1.2480481114159101</v>
      </c>
      <c r="G52" s="37">
        <f t="shared" si="14"/>
        <v>4.9324436766918849</v>
      </c>
      <c r="H52" s="146">
        <f t="shared" si="56"/>
        <v>33816.582212416695</v>
      </c>
      <c r="I52" s="37">
        <f t="shared" si="57"/>
        <v>43.387541244621801</v>
      </c>
      <c r="J52" s="146">
        <f t="shared" si="58"/>
        <v>8341.9067542938446</v>
      </c>
      <c r="K52" s="23">
        <f t="shared" si="59"/>
        <v>1.9602484360030175</v>
      </c>
      <c r="L52" s="26">
        <f t="shared" si="15"/>
        <v>0</v>
      </c>
      <c r="M52" s="54">
        <f t="shared" si="16"/>
        <v>641215.61337645003</v>
      </c>
      <c r="N52" s="49">
        <f t="shared" si="17"/>
        <v>67.653050577806511</v>
      </c>
      <c r="O52" s="49">
        <f t="shared" si="18"/>
        <v>588.91910778663407</v>
      </c>
      <c r="P52" s="146">
        <f t="shared" si="19"/>
        <v>3703153.6600075723</v>
      </c>
      <c r="Q52" s="37">
        <f t="shared" si="20"/>
        <v>214.39372733714896</v>
      </c>
      <c r="R52" s="146">
        <f t="shared" si="21"/>
        <v>8192.2448216460889</v>
      </c>
      <c r="S52" s="23">
        <f t="shared" si="22"/>
        <v>1.9602536104934591</v>
      </c>
      <c r="T52" s="26">
        <f t="shared" si="23"/>
        <v>0</v>
      </c>
      <c r="U52" s="2">
        <f t="shared" si="24"/>
        <v>757</v>
      </c>
      <c r="V52" s="37">
        <f t="shared" si="25"/>
        <v>2.531772575250836</v>
      </c>
      <c r="W52" s="37">
        <f t="shared" si="26"/>
        <v>5.5100512978493628</v>
      </c>
      <c r="X52" s="146">
        <f t="shared" si="27"/>
        <v>1231.8743983097556</v>
      </c>
      <c r="Y52" s="37">
        <f t="shared" si="28"/>
        <v>15.037506907621108</v>
      </c>
      <c r="Z52" s="146">
        <f t="shared" si="29"/>
        <v>272.75214015605656</v>
      </c>
      <c r="AA52" s="23">
        <f t="shared" si="30"/>
        <v>1.968723847365581</v>
      </c>
      <c r="AB52" s="26">
        <f t="shared" si="31"/>
        <v>1.3092715516835627E-37</v>
      </c>
      <c r="AC52" s="54">
        <f t="shared" si="32"/>
        <v>56380.904045317504</v>
      </c>
      <c r="AD52" s="49">
        <f t="shared" si="33"/>
        <v>188.56489647263382</v>
      </c>
      <c r="AE52" s="49">
        <f t="shared" si="34"/>
        <v>539.79661221019444</v>
      </c>
      <c r="AF52" s="146">
        <f t="shared" si="35"/>
        <v>131456.88781462618</v>
      </c>
      <c r="AG52" s="37">
        <f t="shared" si="36"/>
        <v>114.4205835763895</v>
      </c>
      <c r="AH52" s="146">
        <f t="shared" si="37"/>
        <v>278.05646751572232</v>
      </c>
      <c r="AI52" s="23">
        <f t="shared" si="38"/>
        <v>1.9685339746407773</v>
      </c>
      <c r="AJ52" s="26">
        <f t="shared" si="39"/>
        <v>7.4765643319304144E-236</v>
      </c>
      <c r="AK52" s="2">
        <f t="shared" si="40"/>
        <v>820</v>
      </c>
      <c r="AL52" s="37">
        <f t="shared" si="41"/>
        <v>1.9902912621359219</v>
      </c>
      <c r="AM52" s="37">
        <f t="shared" si="42"/>
        <v>4.857684550252042</v>
      </c>
      <c r="AN52" s="146">
        <f t="shared" si="43"/>
        <v>1506.2972707085196</v>
      </c>
      <c r="AO52" s="37">
        <f t="shared" si="44"/>
        <v>14.666130248948862</v>
      </c>
      <c r="AP52" s="146">
        <f t="shared" si="45"/>
        <v>369.80769160922267</v>
      </c>
      <c r="AQ52" s="23">
        <f t="shared" si="46"/>
        <v>1.9664136839452047</v>
      </c>
      <c r="AR52" s="26">
        <f t="shared" si="47"/>
        <v>1.0794005170470255E-38</v>
      </c>
      <c r="AS52" s="54">
        <f t="shared" si="48"/>
        <v>39111.887729750393</v>
      </c>
      <c r="AT52" s="49">
        <f t="shared" si="49"/>
        <v>94.93176633434561</v>
      </c>
      <c r="AU52" s="49">
        <f t="shared" si="50"/>
        <v>503.22905989280275</v>
      </c>
      <c r="AV52" s="146">
        <f t="shared" si="51"/>
        <v>160627.55027704383</v>
      </c>
      <c r="AW52" s="37">
        <f t="shared" si="52"/>
        <v>68.955358965893552</v>
      </c>
      <c r="AX52" s="146">
        <f t="shared" si="53"/>
        <v>372.49613988347556</v>
      </c>
      <c r="AY52" s="23">
        <f t="shared" si="54"/>
        <v>1.9663615036054873</v>
      </c>
      <c r="AZ52" s="186">
        <f t="shared" si="55"/>
        <v>5.2668317361182852E-214</v>
      </c>
    </row>
    <row r="53" spans="1:52" x14ac:dyDescent="0.25">
      <c r="A53" s="261"/>
      <c r="B53" s="6" t="s">
        <v>6</v>
      </c>
      <c r="C53" s="122">
        <f>C13/IncidenceComplications!$G10</f>
        <v>0.99919322307382008</v>
      </c>
      <c r="D53" s="117">
        <f>D13/IncidenceComplications!$G10</f>
        <v>0.92496974586526826</v>
      </c>
      <c r="E53" s="10">
        <f t="shared" si="12"/>
        <v>2933</v>
      </c>
      <c r="F53" s="39">
        <f t="shared" si="13"/>
        <v>1.1831383622428397</v>
      </c>
      <c r="G53" s="39">
        <f t="shared" si="14"/>
        <v>5.4202066211331994</v>
      </c>
      <c r="H53" s="182">
        <f t="shared" si="56"/>
        <v>10022.423391446082</v>
      </c>
      <c r="I53" s="39">
        <f t="shared" si="57"/>
        <v>20.89469194859138</v>
      </c>
      <c r="J53" s="182">
        <f t="shared" si="58"/>
        <v>2387.5267501896647</v>
      </c>
      <c r="K53" s="24">
        <f t="shared" si="59"/>
        <v>1.9609583096866112</v>
      </c>
      <c r="L53" s="27">
        <f t="shared" si="15"/>
        <v>3.5710393476258442E-89</v>
      </c>
      <c r="M53" s="55">
        <f t="shared" si="16"/>
        <v>158118.82864866895</v>
      </c>
      <c r="N53" s="50">
        <f t="shared" si="17"/>
        <v>63.783311274170615</v>
      </c>
      <c r="O53" s="50">
        <f t="shared" si="18"/>
        <v>906.27635171159136</v>
      </c>
      <c r="P53" s="182">
        <f t="shared" si="19"/>
        <v>1371883.815490901</v>
      </c>
      <c r="Q53" s="39">
        <f t="shared" si="20"/>
        <v>87.08523039270365</v>
      </c>
      <c r="R53" s="182">
        <f t="shared" si="21"/>
        <v>2354.2315848485882</v>
      </c>
      <c r="S53" s="24">
        <f t="shared" si="22"/>
        <v>1.9609722558714713</v>
      </c>
      <c r="T53" s="27">
        <f t="shared" si="23"/>
        <v>0</v>
      </c>
      <c r="U53" s="8">
        <f t="shared" si="24"/>
        <v>234</v>
      </c>
      <c r="V53" s="39">
        <f t="shared" si="25"/>
        <v>2.4893617021276597</v>
      </c>
      <c r="W53" s="39">
        <f t="shared" si="26"/>
        <v>5.4390194858342262</v>
      </c>
      <c r="X53" s="182">
        <f t="shared" si="27"/>
        <v>389.98312207894622</v>
      </c>
      <c r="Y53" s="39">
        <f t="shared" si="28"/>
        <v>8.6105022347496565</v>
      </c>
      <c r="Z53" s="182">
        <f t="shared" si="29"/>
        <v>90.812058813761467</v>
      </c>
      <c r="AA53" s="24">
        <f t="shared" si="30"/>
        <v>1.986674540703772</v>
      </c>
      <c r="AB53" s="27">
        <f t="shared" si="31"/>
        <v>2.2223372006195753E-13</v>
      </c>
      <c r="AC53" s="55">
        <f t="shared" si="32"/>
        <v>15366.988332031997</v>
      </c>
      <c r="AD53" s="50">
        <f t="shared" si="33"/>
        <v>163.47859927693617</v>
      </c>
      <c r="AE53" s="50">
        <f t="shared" si="34"/>
        <v>547.55006227727074</v>
      </c>
      <c r="AF53" s="182">
        <f t="shared" si="35"/>
        <v>40975.415972555202</v>
      </c>
      <c r="AG53" s="39">
        <f t="shared" si="36"/>
        <v>56.582068733170203</v>
      </c>
      <c r="AH53" s="182">
        <f t="shared" si="37"/>
        <v>91.084223213970432</v>
      </c>
      <c r="AI53" s="24">
        <f t="shared" si="38"/>
        <v>1.9863771544186202</v>
      </c>
      <c r="AJ53" s="27">
        <f t="shared" si="39"/>
        <v>1.0374253389352787E-72</v>
      </c>
      <c r="AK53" s="8">
        <f t="shared" si="40"/>
        <v>360</v>
      </c>
      <c r="AL53" s="39">
        <f t="shared" si="41"/>
        <v>1.5859030837004404</v>
      </c>
      <c r="AM53" s="39">
        <f t="shared" si="42"/>
        <v>5.7534628869586442</v>
      </c>
      <c r="AN53" s="182">
        <f t="shared" si="43"/>
        <v>954.64868165990356</v>
      </c>
      <c r="AO53" s="39">
        <f t="shared" si="44"/>
        <v>8.1936318410963533</v>
      </c>
      <c r="AP53" s="182">
        <f t="shared" si="45"/>
        <v>216.00375513035277</v>
      </c>
      <c r="AQ53" s="24">
        <f t="shared" si="46"/>
        <v>1.9710074720044739</v>
      </c>
      <c r="AR53" s="27">
        <f t="shared" si="47"/>
        <v>2.2189190703117211E-14</v>
      </c>
      <c r="AS53" s="55">
        <f t="shared" si="48"/>
        <v>5883.6955427580106</v>
      </c>
      <c r="AT53" s="50">
        <f t="shared" si="49"/>
        <v>25.919363624484618</v>
      </c>
      <c r="AU53" s="50">
        <f t="shared" si="50"/>
        <v>2033.4279503885941</v>
      </c>
      <c r="AV53" s="182">
        <f t="shared" si="51"/>
        <v>283557.86777628289</v>
      </c>
      <c r="AW53" s="39">
        <f t="shared" si="52"/>
        <v>7.1215875326930353</v>
      </c>
      <c r="AX53" s="182">
        <f t="shared" si="53"/>
        <v>213.18490063423494</v>
      </c>
      <c r="AY53" s="24">
        <f t="shared" si="54"/>
        <v>1.9711638854652522</v>
      </c>
      <c r="AZ53" s="187">
        <f t="shared" si="55"/>
        <v>1.6156249724222213E-11</v>
      </c>
    </row>
    <row r="54" spans="1:52" ht="15.75" thickBot="1" x14ac:dyDescent="0.3">
      <c r="A54" s="262"/>
      <c r="B54" s="15" t="s">
        <v>14</v>
      </c>
      <c r="C54" s="185">
        <f>C14/IncidenceComplications!$G11</f>
        <v>0.9997890473377774</v>
      </c>
      <c r="D54" s="118">
        <f>D14/IncidenceComplications!$G11</f>
        <v>0.8195932832672348</v>
      </c>
      <c r="E54" s="16">
        <f t="shared" si="12"/>
        <v>27780</v>
      </c>
      <c r="F54" s="40">
        <f t="shared" si="13"/>
        <v>1.1720529913087501</v>
      </c>
      <c r="G54" s="40">
        <f t="shared" si="14"/>
        <v>3.9934622870443959</v>
      </c>
      <c r="H54" s="183">
        <f t="shared" si="56"/>
        <v>69106.425887310295</v>
      </c>
      <c r="I54" s="40">
        <f t="shared" si="57"/>
        <v>72.202564083526539</v>
      </c>
      <c r="J54" s="183">
        <f t="shared" si="58"/>
        <v>21280.154725149176</v>
      </c>
      <c r="K54" s="25">
        <f t="shared" si="59"/>
        <v>1.9600754696845646</v>
      </c>
      <c r="L54" s="28">
        <f t="shared" si="15"/>
        <v>0</v>
      </c>
      <c r="M54" s="74">
        <f t="shared" si="16"/>
        <v>1407809.1129292194</v>
      </c>
      <c r="N54" s="57">
        <f t="shared" si="17"/>
        <v>59.39621605473036</v>
      </c>
      <c r="O54" s="57">
        <f t="shared" si="18"/>
        <v>523.09999119651422</v>
      </c>
      <c r="P54" s="183">
        <f t="shared" si="19"/>
        <v>8496338.9903062582</v>
      </c>
      <c r="Q54" s="40">
        <f t="shared" si="20"/>
        <v>318.68239085238957</v>
      </c>
      <c r="R54" s="183">
        <f t="shared" si="21"/>
        <v>21019.080519239567</v>
      </c>
      <c r="S54" s="25">
        <f t="shared" si="22"/>
        <v>1.9600768541112326</v>
      </c>
      <c r="T54" s="28">
        <f t="shared" si="23"/>
        <v>0</v>
      </c>
      <c r="U54" s="35">
        <f t="shared" si="24"/>
        <v>2955</v>
      </c>
      <c r="V54" s="40">
        <f t="shared" si="25"/>
        <v>1.8702531645569622</v>
      </c>
      <c r="W54" s="40">
        <f t="shared" si="26"/>
        <v>4.2356626030386124</v>
      </c>
      <c r="X54" s="183">
        <f t="shared" si="27"/>
        <v>5013.406202272984</v>
      </c>
      <c r="Y54" s="40">
        <f t="shared" si="28"/>
        <v>29.54205012650619</v>
      </c>
      <c r="Z54" s="183">
        <f t="shared" si="29"/>
        <v>1490.9412014256245</v>
      </c>
      <c r="AA54" s="25">
        <f t="shared" si="30"/>
        <v>1.9615573849940013</v>
      </c>
      <c r="AB54" s="28">
        <f t="shared" si="31"/>
        <v>2.2958348320827074E-151</v>
      </c>
      <c r="AC54" s="74">
        <f t="shared" si="32"/>
        <v>157661.97717404005</v>
      </c>
      <c r="AD54" s="57">
        <f t="shared" si="33"/>
        <v>99.786061502557004</v>
      </c>
      <c r="AE54" s="57">
        <f t="shared" si="34"/>
        <v>460.0030353882297</v>
      </c>
      <c r="AF54" s="183">
        <f t="shared" si="35"/>
        <v>545491.1732977163</v>
      </c>
      <c r="AG54" s="40">
        <f t="shared" si="36"/>
        <v>151.26805693827254</v>
      </c>
      <c r="AH54" s="183">
        <f t="shared" si="37"/>
        <v>1491.3213911347075</v>
      </c>
      <c r="AI54" s="25">
        <f t="shared" si="38"/>
        <v>1.9615563154618352</v>
      </c>
      <c r="AJ54" s="28">
        <f t="shared" si="39"/>
        <v>0</v>
      </c>
      <c r="AK54" s="35">
        <f t="shared" si="40"/>
        <v>2266</v>
      </c>
      <c r="AL54" s="40">
        <f t="shared" si="41"/>
        <v>1.7730829420970267</v>
      </c>
      <c r="AM54" s="40">
        <f t="shared" si="42"/>
        <v>4.2883582679124048</v>
      </c>
      <c r="AN54" s="183">
        <f t="shared" si="43"/>
        <v>4149.2683748356649</v>
      </c>
      <c r="AO54" s="40">
        <f t="shared" si="44"/>
        <v>24.856787576033749</v>
      </c>
      <c r="AP54" s="183">
        <f t="shared" si="45"/>
        <v>1187.5989334476615</v>
      </c>
      <c r="AQ54" s="25">
        <f t="shared" si="46"/>
        <v>1.9619645328866373</v>
      </c>
      <c r="AR54" s="28">
        <f t="shared" si="47"/>
        <v>3.8369799399825139E-110</v>
      </c>
      <c r="AS54" s="74">
        <f t="shared" si="48"/>
        <v>98098.020568513253</v>
      </c>
      <c r="AT54" s="57">
        <f t="shared" si="49"/>
        <v>76.759014529353067</v>
      </c>
      <c r="AU54" s="57">
        <f t="shared" si="50"/>
        <v>884.52901844351425</v>
      </c>
      <c r="AV54" s="183">
        <f t="shared" si="51"/>
        <v>754102.51732053724</v>
      </c>
      <c r="AW54" s="40">
        <f t="shared" si="52"/>
        <v>74.516476223402719</v>
      </c>
      <c r="AX54" s="183">
        <f t="shared" si="53"/>
        <v>1165.1947452509389</v>
      </c>
      <c r="AY54" s="25">
        <f t="shared" si="54"/>
        <v>1.9620023500851498</v>
      </c>
      <c r="AZ54" s="188">
        <f t="shared" si="55"/>
        <v>0</v>
      </c>
    </row>
    <row r="55" spans="1:52" ht="15.75" thickTop="1" x14ac:dyDescent="0.25">
      <c r="A55" s="263">
        <v>2013</v>
      </c>
      <c r="B55" s="5" t="s">
        <v>0</v>
      </c>
      <c r="C55" s="121">
        <f>C15/IncidenceComplications!$G12</f>
        <v>0.99865951742627346</v>
      </c>
      <c r="D55" s="116">
        <f>D15/IncidenceComplications!$G12</f>
        <v>0.95710455764075064</v>
      </c>
      <c r="E55" s="3">
        <f t="shared" si="12"/>
        <v>708</v>
      </c>
      <c r="F55" s="37">
        <f t="shared" si="13"/>
        <v>0.94906166219839161</v>
      </c>
      <c r="G55" s="37">
        <f t="shared" si="14"/>
        <v>3.0606532157581436</v>
      </c>
      <c r="H55" s="146">
        <f t="shared" si="56"/>
        <v>1724.9339556225482</v>
      </c>
      <c r="I55" s="37">
        <f t="shared" si="57"/>
        <v>12.344400642737035</v>
      </c>
      <c r="J55" s="146">
        <f t="shared" si="58"/>
        <v>730.11929131328088</v>
      </c>
      <c r="K55" s="23">
        <f t="shared" si="59"/>
        <v>1.9632189742208488</v>
      </c>
      <c r="L55" s="26">
        <f t="shared" si="15"/>
        <v>6.2583757094508847E-32</v>
      </c>
      <c r="M55" s="54">
        <f t="shared" si="16"/>
        <v>27019.741704734013</v>
      </c>
      <c r="N55" s="49">
        <f t="shared" si="17"/>
        <v>36.219492901788215</v>
      </c>
      <c r="O55" s="49">
        <f t="shared" si="18"/>
        <v>276.67914807250662</v>
      </c>
      <c r="P55" s="146">
        <f t="shared" si="19"/>
        <v>155065.4637110504</v>
      </c>
      <c r="Q55" s="37">
        <f t="shared" si="20"/>
        <v>49.534624177477596</v>
      </c>
      <c r="R55" s="146">
        <f t="shared" si="21"/>
        <v>729.92013242438009</v>
      </c>
      <c r="S55" s="23">
        <f t="shared" si="22"/>
        <v>1.9632234465206992</v>
      </c>
      <c r="T55" s="26">
        <f t="shared" si="23"/>
        <v>1.6708342329735672E-235</v>
      </c>
      <c r="U55" s="2">
        <f t="shared" si="24"/>
        <v>354</v>
      </c>
      <c r="V55" s="37">
        <f t="shared" si="25"/>
        <v>1.7019230769230771</v>
      </c>
      <c r="W55" s="37">
        <f t="shared" si="26"/>
        <v>3.3226067656380183</v>
      </c>
      <c r="X55" s="146">
        <f t="shared" si="27"/>
        <v>544.87901127147188</v>
      </c>
      <c r="Y55" s="37">
        <f t="shared" si="28"/>
        <v>11.332840837011176</v>
      </c>
      <c r="Z55" s="146">
        <f t="shared" si="29"/>
        <v>205.85536367685174</v>
      </c>
      <c r="AA55" s="23">
        <f t="shared" si="30"/>
        <v>1.9716034992645053</v>
      </c>
      <c r="AB55" s="26">
        <f t="shared" si="31"/>
        <v>1.9759032764744896E-23</v>
      </c>
      <c r="AC55" s="54">
        <f t="shared" si="32"/>
        <v>18488.012817036994</v>
      </c>
      <c r="AD55" s="49">
        <f t="shared" si="33"/>
        <v>88.884677004985548</v>
      </c>
      <c r="AE55" s="49">
        <f t="shared" si="34"/>
        <v>332.05451968250742</v>
      </c>
      <c r="AF55" s="146">
        <f t="shared" si="35"/>
        <v>63198.298366420771</v>
      </c>
      <c r="AG55" s="37">
        <f t="shared" si="36"/>
        <v>61.237047619827678</v>
      </c>
      <c r="AH55" s="146">
        <f t="shared" si="37"/>
        <v>206.51926550136693</v>
      </c>
      <c r="AI55" s="23">
        <f t="shared" si="38"/>
        <v>1.9715466694452266</v>
      </c>
      <c r="AJ55" s="26">
        <f t="shared" si="39"/>
        <v>3.6912654343548411E-134</v>
      </c>
      <c r="AK55" s="2">
        <f t="shared" si="40"/>
        <v>166</v>
      </c>
      <c r="AL55" s="37">
        <f t="shared" si="41"/>
        <v>1.6435643564356432</v>
      </c>
      <c r="AM55" s="37">
        <f t="shared" si="42"/>
        <v>3.3158783911582939</v>
      </c>
      <c r="AN55" s="146">
        <f t="shared" si="43"/>
        <v>268.07770779308424</v>
      </c>
      <c r="AO55" s="37">
        <f t="shared" si="44"/>
        <v>7.6096666892904112</v>
      </c>
      <c r="AP55" s="146">
        <f t="shared" si="45"/>
        <v>98.306016287058128</v>
      </c>
      <c r="AQ55" s="23">
        <f t="shared" si="46"/>
        <v>1.9844674545084788</v>
      </c>
      <c r="AR55" s="26">
        <f t="shared" si="47"/>
        <v>1.7095317651302271E-11</v>
      </c>
      <c r="AS55" s="54">
        <f t="shared" si="48"/>
        <v>4220.1010408324</v>
      </c>
      <c r="AT55" s="49">
        <f t="shared" si="49"/>
        <v>41.783178622102952</v>
      </c>
      <c r="AU55" s="49">
        <f t="shared" si="50"/>
        <v>192.78963401962332</v>
      </c>
      <c r="AV55" s="146">
        <f t="shared" si="51"/>
        <v>13568.70004641259</v>
      </c>
      <c r="AW55" s="37">
        <f t="shared" si="52"/>
        <v>25.176679746556669</v>
      </c>
      <c r="AX55" s="146">
        <f t="shared" si="53"/>
        <v>97.980481928670287</v>
      </c>
      <c r="AY55" s="23">
        <f t="shared" si="54"/>
        <v>1.9847231860139838</v>
      </c>
      <c r="AZ55" s="186">
        <f t="shared" si="55"/>
        <v>2.5119272713937479E-44</v>
      </c>
    </row>
    <row r="56" spans="1:52" x14ac:dyDescent="0.25">
      <c r="A56" s="261"/>
      <c r="B56" s="5" t="s">
        <v>1</v>
      </c>
      <c r="C56" s="121">
        <f>C16/IncidenceComplications!$G13</f>
        <v>1</v>
      </c>
      <c r="D56" s="116">
        <f>D16/IncidenceComplications!$G13</f>
        <v>0.95331412103746394</v>
      </c>
      <c r="E56" s="3">
        <f t="shared" si="12"/>
        <v>2828</v>
      </c>
      <c r="F56" s="37">
        <f t="shared" si="13"/>
        <v>0.81498559077809762</v>
      </c>
      <c r="G56" s="37">
        <f t="shared" si="14"/>
        <v>3.059582244650318</v>
      </c>
      <c r="H56" s="146">
        <f t="shared" si="56"/>
        <v>7623.3062854182172</v>
      </c>
      <c r="I56" s="37">
        <f t="shared" si="57"/>
        <v>22.807713643338761</v>
      </c>
      <c r="J56" s="146">
        <f t="shared" si="58"/>
        <v>3386.6784888058764</v>
      </c>
      <c r="K56" s="23">
        <f t="shared" si="59"/>
        <v>1.9606648424940636</v>
      </c>
      <c r="L56" s="26">
        <f t="shared" si="15"/>
        <v>3.127934960955256E-107</v>
      </c>
      <c r="M56" s="54">
        <f t="shared" si="16"/>
        <v>178521.48763645603</v>
      </c>
      <c r="N56" s="49">
        <f t="shared" si="17"/>
        <v>51.447114592638627</v>
      </c>
      <c r="O56" s="49">
        <f t="shared" si="18"/>
        <v>495.829552155719</v>
      </c>
      <c r="P56" s="146">
        <f t="shared" si="19"/>
        <v>1618137.696685561</v>
      </c>
      <c r="Q56" s="37">
        <f t="shared" si="20"/>
        <v>119.5276294965123</v>
      </c>
      <c r="R56" s="146">
        <f t="shared" si="21"/>
        <v>3448.723640357307</v>
      </c>
      <c r="S56" s="23">
        <f t="shared" si="22"/>
        <v>1.9606522357103398</v>
      </c>
      <c r="T56" s="26">
        <f t="shared" si="23"/>
        <v>0</v>
      </c>
      <c r="U56" s="2">
        <f t="shared" si="24"/>
        <v>1587</v>
      </c>
      <c r="V56" s="37">
        <f t="shared" si="25"/>
        <v>1.3415046491969571</v>
      </c>
      <c r="W56" s="37">
        <f t="shared" si="26"/>
        <v>3.2369097949637413</v>
      </c>
      <c r="X56" s="146">
        <f t="shared" si="27"/>
        <v>2806.470287045559</v>
      </c>
      <c r="Y56" s="37">
        <f t="shared" si="28"/>
        <v>21.357070081250882</v>
      </c>
      <c r="Z56" s="146">
        <f t="shared" si="29"/>
        <v>1158.815273485081</v>
      </c>
      <c r="AA56" s="23">
        <f t="shared" si="30"/>
        <v>1.9620146844779882</v>
      </c>
      <c r="AB56" s="26">
        <f t="shared" si="31"/>
        <v>1.3652062303899104E-85</v>
      </c>
      <c r="AC56" s="54">
        <f t="shared" si="32"/>
        <v>89989.861075580993</v>
      </c>
      <c r="AD56" s="49">
        <f t="shared" si="33"/>
        <v>76.06919786608708</v>
      </c>
      <c r="AE56" s="49">
        <f t="shared" si="34"/>
        <v>274.15770721920251</v>
      </c>
      <c r="AF56" s="146">
        <f t="shared" si="35"/>
        <v>267333.56454537233</v>
      </c>
      <c r="AG56" s="37">
        <f t="shared" si="36"/>
        <v>132.87697626716178</v>
      </c>
      <c r="AH56" s="146">
        <f t="shared" si="37"/>
        <v>1165.7706922913517</v>
      </c>
      <c r="AI56" s="23">
        <f t="shared" si="38"/>
        <v>1.9620023500851498</v>
      </c>
      <c r="AJ56" s="26">
        <f t="shared" si="39"/>
        <v>0</v>
      </c>
      <c r="AK56" s="2">
        <f t="shared" si="40"/>
        <v>542</v>
      </c>
      <c r="AL56" s="37">
        <f t="shared" si="41"/>
        <v>1.3349753694581286</v>
      </c>
      <c r="AM56" s="37">
        <f t="shared" si="42"/>
        <v>3.3971594145430584</v>
      </c>
      <c r="AN56" s="146">
        <f t="shared" si="43"/>
        <v>1090.2881399736036</v>
      </c>
      <c r="AO56" s="37">
        <f t="shared" si="44"/>
        <v>12.228081907065647</v>
      </c>
      <c r="AP56" s="146">
        <f t="shared" si="45"/>
        <v>399.54308028995416</v>
      </c>
      <c r="AQ56" s="23">
        <f t="shared" si="46"/>
        <v>1.9659272959208922</v>
      </c>
      <c r="AR56" s="26">
        <f t="shared" si="47"/>
        <v>2.0175664420104834E-29</v>
      </c>
      <c r="AS56" s="54">
        <f t="shared" si="48"/>
        <v>25720.813602019596</v>
      </c>
      <c r="AT56" s="49">
        <f t="shared" si="49"/>
        <v>63.351757640442344</v>
      </c>
      <c r="AU56" s="49">
        <f t="shared" si="50"/>
        <v>259.78184116036084</v>
      </c>
      <c r="AV56" s="146">
        <f t="shared" si="51"/>
        <v>80677.236394737221</v>
      </c>
      <c r="AW56" s="37">
        <f t="shared" si="52"/>
        <v>66.187698669314159</v>
      </c>
      <c r="AX56" s="146">
        <f t="shared" si="53"/>
        <v>398.97531368312826</v>
      </c>
      <c r="AY56" s="23">
        <f t="shared" si="54"/>
        <v>1.965942323976257</v>
      </c>
      <c r="AZ56" s="186">
        <f t="shared" si="55"/>
        <v>6.4950401174088651E-217</v>
      </c>
    </row>
    <row r="57" spans="1:52" x14ac:dyDescent="0.25">
      <c r="A57" s="261"/>
      <c r="B57" s="5" t="s">
        <v>2</v>
      </c>
      <c r="C57" s="121">
        <f>C17/IncidenceComplications!$G14</f>
        <v>1</v>
      </c>
      <c r="D57" s="116">
        <f>D17/IncidenceComplications!$G14</f>
        <v>0.87092344661860621</v>
      </c>
      <c r="E57" s="3">
        <f t="shared" si="12"/>
        <v>2608</v>
      </c>
      <c r="F57" s="37">
        <f t="shared" si="13"/>
        <v>0.89529694473051835</v>
      </c>
      <c r="G57" s="37">
        <f t="shared" si="14"/>
        <v>3.1686667366112906</v>
      </c>
      <c r="H57" s="146">
        <f t="shared" si="56"/>
        <v>6714.6845737652338</v>
      </c>
      <c r="I57" s="37">
        <f t="shared" si="57"/>
        <v>22.052295421283276</v>
      </c>
      <c r="J57" s="146">
        <f t="shared" si="58"/>
        <v>2709.1120386358334</v>
      </c>
      <c r="K57" s="23">
        <f t="shared" si="59"/>
        <v>1.9608400692486587</v>
      </c>
      <c r="L57" s="26">
        <f t="shared" si="15"/>
        <v>2.9614495012118899E-99</v>
      </c>
      <c r="M57" s="54">
        <f t="shared" si="16"/>
        <v>104198.27593836305</v>
      </c>
      <c r="N57" s="49">
        <f t="shared" si="17"/>
        <v>35.770091293636483</v>
      </c>
      <c r="O57" s="49">
        <f t="shared" si="18"/>
        <v>369.52709311983301</v>
      </c>
      <c r="P57" s="146">
        <f t="shared" si="19"/>
        <v>759470.88284576265</v>
      </c>
      <c r="Q57" s="37">
        <f t="shared" si="20"/>
        <v>81.48107307816197</v>
      </c>
      <c r="R57" s="146">
        <f t="shared" si="21"/>
        <v>2697.4310225184477</v>
      </c>
      <c r="S57" s="23">
        <f t="shared" si="22"/>
        <v>1.9608439690095649</v>
      </c>
      <c r="T57" s="26">
        <f t="shared" si="23"/>
        <v>0</v>
      </c>
      <c r="U57" s="2">
        <f t="shared" si="24"/>
        <v>851</v>
      </c>
      <c r="V57" s="37">
        <f t="shared" si="25"/>
        <v>1.85</v>
      </c>
      <c r="W57" s="37">
        <f t="shared" si="26"/>
        <v>3.5383492896754758</v>
      </c>
      <c r="X57" s="146">
        <f t="shared" si="27"/>
        <v>1293.2505767640387</v>
      </c>
      <c r="Y57" s="37">
        <f t="shared" si="28"/>
        <v>17.366574858876834</v>
      </c>
      <c r="Z57" s="146">
        <f t="shared" si="29"/>
        <v>437.90596337672179</v>
      </c>
      <c r="AA57" s="23">
        <f t="shared" si="30"/>
        <v>1.9654073333726678</v>
      </c>
      <c r="AB57" s="26">
        <f t="shared" si="31"/>
        <v>9.3874374603306925E-52</v>
      </c>
      <c r="AC57" s="54">
        <f t="shared" si="32"/>
        <v>29898.722281491995</v>
      </c>
      <c r="AD57" s="49">
        <f t="shared" si="33"/>
        <v>64.997222351069553</v>
      </c>
      <c r="AE57" s="49">
        <f t="shared" si="34"/>
        <v>393.09586789140667</v>
      </c>
      <c r="AF57" s="146">
        <f t="shared" si="35"/>
        <v>109550.2101869459</v>
      </c>
      <c r="AG57" s="37">
        <f t="shared" si="36"/>
        <v>57.437152071264649</v>
      </c>
      <c r="AH57" s="146">
        <f t="shared" si="37"/>
        <v>424.79462926340574</v>
      </c>
      <c r="AI57" s="23">
        <f t="shared" si="38"/>
        <v>1.9655746975220969</v>
      </c>
      <c r="AJ57" s="26">
        <f t="shared" si="39"/>
        <v>3.8522051067160412E-202</v>
      </c>
      <c r="AK57" s="2">
        <f t="shared" si="40"/>
        <v>264</v>
      </c>
      <c r="AL57" s="37">
        <f t="shared" si="41"/>
        <v>1.5999999999999996</v>
      </c>
      <c r="AM57" s="37">
        <f t="shared" si="42"/>
        <v>3.5274973069521049</v>
      </c>
      <c r="AN57" s="146">
        <f t="shared" si="43"/>
        <v>481.54739628050771</v>
      </c>
      <c r="AO57" s="37">
        <f t="shared" si="44"/>
        <v>9.056945676330697</v>
      </c>
      <c r="AP57" s="146">
        <f t="shared" si="45"/>
        <v>157.07377935801122</v>
      </c>
      <c r="AQ57" s="23">
        <f t="shared" si="46"/>
        <v>1.9751891630765959</v>
      </c>
      <c r="AR57" s="26">
        <f t="shared" si="47"/>
        <v>5.0155235664083246E-16</v>
      </c>
      <c r="AS57" s="54">
        <f t="shared" si="48"/>
        <v>16413.280474605104</v>
      </c>
      <c r="AT57" s="49">
        <f t="shared" si="49"/>
        <v>99.474427118818795</v>
      </c>
      <c r="AU57" s="49">
        <f t="shared" si="50"/>
        <v>326.08193939707655</v>
      </c>
      <c r="AV57" s="146">
        <f t="shared" si="51"/>
        <v>43795.06785899098</v>
      </c>
      <c r="AW57" s="37">
        <f t="shared" si="52"/>
        <v>58.391936032763226</v>
      </c>
      <c r="AX57" s="146">
        <f t="shared" si="53"/>
        <v>156.61821645357716</v>
      </c>
      <c r="AY57" s="23">
        <f t="shared" si="54"/>
        <v>1.9752875077034502</v>
      </c>
      <c r="AZ57" s="186">
        <f t="shared" si="55"/>
        <v>6.4784637609264365E-108</v>
      </c>
    </row>
    <row r="58" spans="1:52" x14ac:dyDescent="0.25">
      <c r="A58" s="261"/>
      <c r="B58" s="5" t="s">
        <v>3</v>
      </c>
      <c r="C58" s="121">
        <f>C18/IncidenceComplications!$G15</f>
        <v>0.99957645065650147</v>
      </c>
      <c r="D58" s="116">
        <f>D18/IncidenceComplications!$G15</f>
        <v>0.81766200762388819</v>
      </c>
      <c r="E58" s="3">
        <f t="shared" si="12"/>
        <v>5000</v>
      </c>
      <c r="F58" s="37">
        <f t="shared" si="13"/>
        <v>1.0588733587462942</v>
      </c>
      <c r="G58" s="37">
        <f t="shared" si="14"/>
        <v>3.4526913202696092</v>
      </c>
      <c r="H58" s="146">
        <f t="shared" si="56"/>
        <v>11803.312280782649</v>
      </c>
      <c r="I58" s="37">
        <f t="shared" si="57"/>
        <v>31.273672510502369</v>
      </c>
      <c r="J58" s="146">
        <f t="shared" si="58"/>
        <v>4224.9408539847536</v>
      </c>
      <c r="K58" s="23">
        <f t="shared" si="59"/>
        <v>1.960525760008494</v>
      </c>
      <c r="L58" s="26">
        <f t="shared" si="15"/>
        <v>2.6371209607830335E-193</v>
      </c>
      <c r="M58" s="54">
        <f t="shared" si="16"/>
        <v>231276.81679169391</v>
      </c>
      <c r="N58" s="49">
        <f t="shared" si="17"/>
        <v>48.978571959274433</v>
      </c>
      <c r="O58" s="49">
        <f t="shared" si="18"/>
        <v>453.96268476302549</v>
      </c>
      <c r="P58" s="146">
        <f t="shared" si="19"/>
        <v>1668266.2755974478</v>
      </c>
      <c r="Q58" s="37">
        <f t="shared" si="20"/>
        <v>127.02994522875096</v>
      </c>
      <c r="R58" s="146">
        <f t="shared" si="21"/>
        <v>4295.981742028569</v>
      </c>
      <c r="S58" s="23">
        <f t="shared" si="22"/>
        <v>1.9605164708096106</v>
      </c>
      <c r="T58" s="26">
        <f t="shared" si="23"/>
        <v>0</v>
      </c>
      <c r="U58" s="2">
        <f t="shared" si="24"/>
        <v>659</v>
      </c>
      <c r="V58" s="37">
        <f t="shared" si="25"/>
        <v>1.9789789789789789</v>
      </c>
      <c r="W58" s="37">
        <f t="shared" si="26"/>
        <v>3.4692182454078098</v>
      </c>
      <c r="X58" s="146">
        <f t="shared" si="27"/>
        <v>911.33343415311629</v>
      </c>
      <c r="Y58" s="37">
        <f t="shared" si="28"/>
        <v>15.649772643216176</v>
      </c>
      <c r="Z58" s="146">
        <f t="shared" si="29"/>
        <v>304.25388056667862</v>
      </c>
      <c r="AA58" s="23">
        <f t="shared" si="30"/>
        <v>1.9677981407170377</v>
      </c>
      <c r="AB58" s="26">
        <f t="shared" si="31"/>
        <v>6.6928341859432443E-41</v>
      </c>
      <c r="AC58" s="54">
        <f t="shared" si="32"/>
        <v>34526.129232706604</v>
      </c>
      <c r="AD58" s="49">
        <f t="shared" si="33"/>
        <v>103.6820697678877</v>
      </c>
      <c r="AE58" s="49">
        <f t="shared" si="34"/>
        <v>451.01080732397821</v>
      </c>
      <c r="AF58" s="146">
        <f t="shared" si="35"/>
        <v>117055.79082116279</v>
      </c>
      <c r="AG58" s="37">
        <f t="shared" si="36"/>
        <v>71.789880083685603</v>
      </c>
      <c r="AH58" s="146">
        <f t="shared" si="37"/>
        <v>303.32313986372174</v>
      </c>
      <c r="AI58" s="23">
        <f t="shared" si="38"/>
        <v>1.9678240977520816</v>
      </c>
      <c r="AJ58" s="26">
        <f t="shared" si="39"/>
        <v>2.9227109300695263E-192</v>
      </c>
      <c r="AK58" s="2">
        <f t="shared" si="40"/>
        <v>290</v>
      </c>
      <c r="AL58" s="37">
        <f t="shared" si="41"/>
        <v>1.6292134831460672</v>
      </c>
      <c r="AM58" s="37">
        <f t="shared" si="42"/>
        <v>3.5910586748048208</v>
      </c>
      <c r="AN58" s="146">
        <f t="shared" si="43"/>
        <v>485.16772971869972</v>
      </c>
      <c r="AO58" s="37">
        <f t="shared" si="44"/>
        <v>9.1759031545121399</v>
      </c>
      <c r="AP58" s="146">
        <f t="shared" si="45"/>
        <v>159.13417594835551</v>
      </c>
      <c r="AQ58" s="23">
        <f t="shared" si="46"/>
        <v>1.9749962127674823</v>
      </c>
      <c r="AR58" s="26">
        <f t="shared" si="47"/>
        <v>2.2557960605625071E-16</v>
      </c>
      <c r="AS58" s="54">
        <f t="shared" si="48"/>
        <v>14458.315836679802</v>
      </c>
      <c r="AT58" s="49">
        <f t="shared" si="49"/>
        <v>81.226493464493274</v>
      </c>
      <c r="AU58" s="49">
        <f t="shared" si="50"/>
        <v>393.11649293298439</v>
      </c>
      <c r="AV58" s="146">
        <f t="shared" si="51"/>
        <v>50246.764643019356</v>
      </c>
      <c r="AW58" s="37">
        <f t="shared" si="52"/>
        <v>43.514274658826004</v>
      </c>
      <c r="AX58" s="146">
        <f t="shared" si="53"/>
        <v>157.05934381180117</v>
      </c>
      <c r="AY58" s="23">
        <f t="shared" si="54"/>
        <v>1.9751891630765959</v>
      </c>
      <c r="AZ58" s="186">
        <f t="shared" si="55"/>
        <v>1.65056127169375E-89</v>
      </c>
    </row>
    <row r="59" spans="1:52" x14ac:dyDescent="0.25">
      <c r="A59" s="261"/>
      <c r="B59" s="5" t="s">
        <v>4</v>
      </c>
      <c r="C59" s="121">
        <f>C19/IncidenceComplications!$G16</f>
        <v>0.99983078094593447</v>
      </c>
      <c r="D59" s="116">
        <f>D19/IncidenceComplications!$G16</f>
        <v>0.81411286910906167</v>
      </c>
      <c r="E59" s="3">
        <f t="shared" si="12"/>
        <v>14608</v>
      </c>
      <c r="F59" s="37">
        <f t="shared" si="13"/>
        <v>1.235975970894323</v>
      </c>
      <c r="G59" s="37">
        <f t="shared" si="14"/>
        <v>4.5204439991329801</v>
      </c>
      <c r="H59" s="146">
        <f t="shared" si="56"/>
        <v>38842.198383538846</v>
      </c>
      <c r="I59" s="37">
        <f t="shared" si="57"/>
        <v>50.430388829255001</v>
      </c>
      <c r="J59" s="146">
        <f t="shared" si="58"/>
        <v>10557.377555265422</v>
      </c>
      <c r="K59" s="23">
        <f t="shared" si="59"/>
        <v>1.9601887206021578</v>
      </c>
      <c r="L59" s="26">
        <f t="shared" si="15"/>
        <v>0</v>
      </c>
      <c r="M59" s="54">
        <f t="shared" si="16"/>
        <v>671235.50037948019</v>
      </c>
      <c r="N59" s="49">
        <f t="shared" si="17"/>
        <v>56.792918214694993</v>
      </c>
      <c r="O59" s="49">
        <f t="shared" si="18"/>
        <v>463.59953246704663</v>
      </c>
      <c r="P59" s="146">
        <f t="shared" si="19"/>
        <v>4084874.7875198787</v>
      </c>
      <c r="Q59" s="37">
        <f t="shared" si="20"/>
        <v>229.27676040077321</v>
      </c>
      <c r="R59" s="146">
        <f t="shared" si="21"/>
        <v>10616.772901664794</v>
      </c>
      <c r="S59" s="23">
        <f t="shared" si="22"/>
        <v>1.9601874714582281</v>
      </c>
      <c r="T59" s="26">
        <f t="shared" si="23"/>
        <v>0</v>
      </c>
      <c r="U59" s="2">
        <f t="shared" si="24"/>
        <v>829</v>
      </c>
      <c r="V59" s="37">
        <f t="shared" si="25"/>
        <v>2.026894865525672</v>
      </c>
      <c r="W59" s="37">
        <f t="shared" si="26"/>
        <v>5.2397148699253497</v>
      </c>
      <c r="X59" s="146">
        <f t="shared" si="27"/>
        <v>1558.5846259290931</v>
      </c>
      <c r="Y59" s="37">
        <f t="shared" si="28"/>
        <v>14.438224092850769</v>
      </c>
      <c r="Z59" s="146">
        <f t="shared" si="29"/>
        <v>373.154330169768</v>
      </c>
      <c r="AA59" s="23">
        <f t="shared" si="30"/>
        <v>1.9663442972793048</v>
      </c>
      <c r="AB59" s="26">
        <f t="shared" si="31"/>
        <v>7.5321183593335176E-38</v>
      </c>
      <c r="AC59" s="54">
        <f t="shared" si="32"/>
        <v>39741.104451880805</v>
      </c>
      <c r="AD59" s="49">
        <f t="shared" si="33"/>
        <v>97.166514552275828</v>
      </c>
      <c r="AE59" s="49">
        <f t="shared" si="34"/>
        <v>673.80242092535673</v>
      </c>
      <c r="AF59" s="146">
        <f t="shared" si="35"/>
        <v>240520.51953052869</v>
      </c>
      <c r="AG59" s="37">
        <f t="shared" si="36"/>
        <v>62.91114046891326</v>
      </c>
      <c r="AH59" s="146">
        <f t="shared" si="37"/>
        <v>389.0366386303736</v>
      </c>
      <c r="AI59" s="23">
        <f t="shared" si="38"/>
        <v>1.9660810640467155</v>
      </c>
      <c r="AJ59" s="26">
        <f t="shared" si="39"/>
        <v>5.5963965099523874E-206</v>
      </c>
      <c r="AK59" s="2">
        <f t="shared" si="40"/>
        <v>549</v>
      </c>
      <c r="AL59" s="37">
        <f t="shared" si="41"/>
        <v>1.9128919860627174</v>
      </c>
      <c r="AM59" s="37">
        <f t="shared" si="42"/>
        <v>5.0812146415376249</v>
      </c>
      <c r="AN59" s="146">
        <f t="shared" si="43"/>
        <v>1099.1213908409834</v>
      </c>
      <c r="AO59" s="37">
        <f t="shared" si="44"/>
        <v>11.500804530588432</v>
      </c>
      <c r="AP59" s="146">
        <f t="shared" si="45"/>
        <v>257.19551194142701</v>
      </c>
      <c r="AQ59" s="23">
        <f t="shared" si="46"/>
        <v>1.9692374962336785</v>
      </c>
      <c r="AR59" s="26">
        <f t="shared" si="47"/>
        <v>5.7164098271311644E-25</v>
      </c>
      <c r="AS59" s="54">
        <f t="shared" si="48"/>
        <v>17618.541802108804</v>
      </c>
      <c r="AT59" s="49">
        <f t="shared" si="49"/>
        <v>61.388647394107323</v>
      </c>
      <c r="AU59" s="49">
        <f t="shared" si="50"/>
        <v>449.64975677759168</v>
      </c>
      <c r="AV59" s="146">
        <f t="shared" si="51"/>
        <v>83267.597660791973</v>
      </c>
      <c r="AW59" s="37">
        <f t="shared" si="52"/>
        <v>38.941081522213423</v>
      </c>
      <c r="AX59" s="146">
        <f t="shared" si="53"/>
        <v>249.32539191214212</v>
      </c>
      <c r="AY59" s="23">
        <f t="shared" si="54"/>
        <v>1.9695368676403495</v>
      </c>
      <c r="AZ59" s="186">
        <f t="shared" si="55"/>
        <v>6.7724434408629166E-108</v>
      </c>
    </row>
    <row r="60" spans="1:52" x14ac:dyDescent="0.25">
      <c r="A60" s="261"/>
      <c r="B60" s="5" t="s">
        <v>5</v>
      </c>
      <c r="C60" s="121">
        <f>C20/IncidenceComplications!$G17</f>
        <v>0.99995208203555508</v>
      </c>
      <c r="D60" s="116">
        <f>D20/IncidenceComplications!$G17</f>
        <v>0.84311658440749437</v>
      </c>
      <c r="E60" s="3">
        <f t="shared" si="12"/>
        <v>21910</v>
      </c>
      <c r="F60" s="37">
        <f t="shared" si="13"/>
        <v>1.0498826009871101</v>
      </c>
      <c r="G60" s="37">
        <f t="shared" si="14"/>
        <v>4.9536626552711445</v>
      </c>
      <c r="H60" s="146">
        <f t="shared" si="56"/>
        <v>73832.327245274588</v>
      </c>
      <c r="I60" s="37">
        <f t="shared" si="57"/>
        <v>54.833684066446352</v>
      </c>
      <c r="J60" s="146">
        <f t="shared" si="58"/>
        <v>18986.377379358899</v>
      </c>
      <c r="K60" s="23">
        <f t="shared" si="59"/>
        <v>1.9600889408175777</v>
      </c>
      <c r="L60" s="26">
        <f t="shared" si="15"/>
        <v>0</v>
      </c>
      <c r="M60" s="54">
        <f t="shared" si="16"/>
        <v>1015047.5709842397</v>
      </c>
      <c r="N60" s="49">
        <f t="shared" si="17"/>
        <v>48.63901341627485</v>
      </c>
      <c r="O60" s="49">
        <f t="shared" si="18"/>
        <v>599.05284649913347</v>
      </c>
      <c r="P60" s="146">
        <f t="shared" si="19"/>
        <v>9169157.9556067139</v>
      </c>
      <c r="Q60" s="37">
        <f t="shared" si="20"/>
        <v>231.35819966404856</v>
      </c>
      <c r="R60" s="146">
        <f t="shared" si="21"/>
        <v>19076.409869542524</v>
      </c>
      <c r="S60" s="23">
        <f t="shared" si="22"/>
        <v>1.9600883512417688</v>
      </c>
      <c r="T60" s="26">
        <f t="shared" si="23"/>
        <v>0</v>
      </c>
      <c r="U60" s="2">
        <f t="shared" si="24"/>
        <v>1409</v>
      </c>
      <c r="V60" s="37">
        <f t="shared" si="25"/>
        <v>2.3483333333333336</v>
      </c>
      <c r="W60" s="37">
        <f t="shared" si="26"/>
        <v>5.0109282354415781</v>
      </c>
      <c r="X60" s="146">
        <f t="shared" si="27"/>
        <v>2320.3854965910505</v>
      </c>
      <c r="Y60" s="37">
        <f t="shared" si="28"/>
        <v>20.825717453810228</v>
      </c>
      <c r="Z60" s="146">
        <f t="shared" si="29"/>
        <v>554.36273388389134</v>
      </c>
      <c r="AA60" s="23">
        <f t="shared" si="30"/>
        <v>1.9642552739444195</v>
      </c>
      <c r="AB60" s="26">
        <f t="shared" si="31"/>
        <v>1.4044203666142949E-71</v>
      </c>
      <c r="AC60" s="54">
        <f t="shared" si="32"/>
        <v>78591.764191828988</v>
      </c>
      <c r="AD60" s="49">
        <f t="shared" si="33"/>
        <v>130.98627365304833</v>
      </c>
      <c r="AE60" s="49">
        <f t="shared" si="34"/>
        <v>793.81631861934193</v>
      </c>
      <c r="AF60" s="146">
        <f t="shared" si="35"/>
        <v>437392.54631117097</v>
      </c>
      <c r="AG60" s="37">
        <f t="shared" si="36"/>
        <v>96.811287984396571</v>
      </c>
      <c r="AH60" s="146">
        <f t="shared" si="37"/>
        <v>580.31884548212383</v>
      </c>
      <c r="AI60" s="23">
        <f t="shared" si="38"/>
        <v>1.9640625107694023</v>
      </c>
      <c r="AJ60" s="26">
        <f t="shared" si="39"/>
        <v>0</v>
      </c>
      <c r="AK60" s="2">
        <f t="shared" si="40"/>
        <v>1831</v>
      </c>
      <c r="AL60" s="37">
        <f t="shared" si="41"/>
        <v>2.0642615558060875</v>
      </c>
      <c r="AM60" s="37">
        <f t="shared" si="42"/>
        <v>5.5120671669883778</v>
      </c>
      <c r="AN60" s="146">
        <f t="shared" si="43"/>
        <v>3736.1350841392641</v>
      </c>
      <c r="AO60" s="37">
        <f t="shared" si="44"/>
        <v>21.213417024958588</v>
      </c>
      <c r="AP60" s="146">
        <f t="shared" si="45"/>
        <v>819.4870557837296</v>
      </c>
      <c r="AQ60" s="23">
        <f t="shared" si="46"/>
        <v>1.9628647431698791</v>
      </c>
      <c r="AR60" s="26">
        <f t="shared" si="47"/>
        <v>6.1699744086497103E-80</v>
      </c>
      <c r="AS60" s="54">
        <f t="shared" si="48"/>
        <v>83251.642107906984</v>
      </c>
      <c r="AT60" s="49">
        <f t="shared" si="49"/>
        <v>93.857544653784657</v>
      </c>
      <c r="AU60" s="49">
        <f t="shared" si="50"/>
        <v>643.93327626740847</v>
      </c>
      <c r="AV60" s="146">
        <f t="shared" si="51"/>
        <v>426075.71132559766</v>
      </c>
      <c r="AW60" s="37">
        <f t="shared" si="52"/>
        <v>89.047494539356009</v>
      </c>
      <c r="AX60" s="146">
        <f t="shared" si="53"/>
        <v>815.72326278301557</v>
      </c>
      <c r="AY60" s="23">
        <f t="shared" si="54"/>
        <v>1.9628790008217714</v>
      </c>
      <c r="AZ60" s="186">
        <f t="shared" si="55"/>
        <v>0</v>
      </c>
    </row>
    <row r="61" spans="1:52" x14ac:dyDescent="0.25">
      <c r="A61" s="261"/>
      <c r="B61" s="6" t="s">
        <v>6</v>
      </c>
      <c r="C61" s="122">
        <f>C21/IncidenceComplications!$G18</f>
        <v>0.99976453967506473</v>
      </c>
      <c r="D61" s="117">
        <f>D21/IncidenceComplications!$G18</f>
        <v>0.93642571226748295</v>
      </c>
      <c r="E61" s="10">
        <f t="shared" si="12"/>
        <v>4771</v>
      </c>
      <c r="F61" s="39">
        <f t="shared" si="13"/>
        <v>1.1233812102660705</v>
      </c>
      <c r="G61" s="39">
        <f t="shared" si="14"/>
        <v>5.8181500010054581</v>
      </c>
      <c r="H61" s="182">
        <f t="shared" si="56"/>
        <v>18011.662613364464</v>
      </c>
      <c r="I61" s="39">
        <f t="shared" si="57"/>
        <v>25.117709430636978</v>
      </c>
      <c r="J61" s="182">
        <f t="shared" si="58"/>
        <v>4110.2422724639282</v>
      </c>
      <c r="K61" s="24">
        <f t="shared" si="59"/>
        <v>1.960541346613335</v>
      </c>
      <c r="L61" s="27">
        <f t="shared" si="15"/>
        <v>1.2116997214639412E-129</v>
      </c>
      <c r="M61" s="55">
        <f t="shared" si="16"/>
        <v>294189.21789020998</v>
      </c>
      <c r="N61" s="50">
        <f t="shared" si="17"/>
        <v>69.269888836875452</v>
      </c>
      <c r="O61" s="50">
        <f t="shared" si="18"/>
        <v>874.91764295541407</v>
      </c>
      <c r="P61" s="182">
        <f t="shared" si="19"/>
        <v>2477605.2104263557</v>
      </c>
      <c r="Q61" s="39">
        <f t="shared" si="20"/>
        <v>126.18563991543819</v>
      </c>
      <c r="R61" s="182">
        <f t="shared" si="21"/>
        <v>4087.0559001503448</v>
      </c>
      <c r="S61" s="24">
        <f t="shared" si="22"/>
        <v>1.9605445967219217</v>
      </c>
      <c r="T61" s="27">
        <f t="shared" si="23"/>
        <v>0</v>
      </c>
      <c r="U61" s="8">
        <f t="shared" si="24"/>
        <v>283</v>
      </c>
      <c r="V61" s="39">
        <f t="shared" si="25"/>
        <v>2.2109375</v>
      </c>
      <c r="W61" s="39">
        <f t="shared" si="26"/>
        <v>6.2087566353250576</v>
      </c>
      <c r="X61" s="182">
        <f t="shared" si="27"/>
        <v>636.25611044236416</v>
      </c>
      <c r="Y61" s="39">
        <f t="shared" si="28"/>
        <v>8.4167699996942211</v>
      </c>
      <c r="Z61" s="182">
        <f t="shared" si="29"/>
        <v>125.14467562964965</v>
      </c>
      <c r="AA61" s="24">
        <f t="shared" si="30"/>
        <v>1.9791241094237992</v>
      </c>
      <c r="AB61" s="27">
        <f t="shared" si="31"/>
        <v>7.5917507714740677E-14</v>
      </c>
      <c r="AC61" s="55">
        <f t="shared" si="32"/>
        <v>19031.172387474799</v>
      </c>
      <c r="AD61" s="50">
        <f t="shared" si="33"/>
        <v>148.68103427714686</v>
      </c>
      <c r="AE61" s="50">
        <f t="shared" si="34"/>
        <v>536.37461138644585</v>
      </c>
      <c r="AF61" s="182">
        <f t="shared" si="35"/>
        <v>55132.014456073593</v>
      </c>
      <c r="AG61" s="39">
        <f t="shared" si="36"/>
        <v>60.918378230453264</v>
      </c>
      <c r="AH61" s="182">
        <f t="shared" si="37"/>
        <v>125.16484470715118</v>
      </c>
      <c r="AI61" s="24">
        <f t="shared" si="38"/>
        <v>1.9791241094237992</v>
      </c>
      <c r="AJ61" s="27">
        <f t="shared" si="39"/>
        <v>8.3909890144552657E-95</v>
      </c>
      <c r="AK61" s="8">
        <f t="shared" si="40"/>
        <v>773</v>
      </c>
      <c r="AL61" s="39">
        <f t="shared" si="41"/>
        <v>2.1294765840220391</v>
      </c>
      <c r="AM61" s="39">
        <f t="shared" si="42"/>
        <v>5.9567652735555905</v>
      </c>
      <c r="AN61" s="182">
        <f t="shared" si="43"/>
        <v>1627.351207310227</v>
      </c>
      <c r="AO61" s="39">
        <f t="shared" si="44"/>
        <v>13.789344910251909</v>
      </c>
      <c r="AP61" s="182">
        <f t="shared" si="45"/>
        <v>351.81989898340822</v>
      </c>
      <c r="AQ61" s="24">
        <f t="shared" si="46"/>
        <v>1.9667455609476534</v>
      </c>
      <c r="AR61" s="27">
        <f t="shared" si="47"/>
        <v>7.220318129370287E-35</v>
      </c>
      <c r="AS61" s="55">
        <f t="shared" si="48"/>
        <v>75896.534798009001</v>
      </c>
      <c r="AT61" s="50">
        <f t="shared" si="49"/>
        <v>209.08136307991464</v>
      </c>
      <c r="AU61" s="50">
        <f t="shared" si="50"/>
        <v>971.62485663112307</v>
      </c>
      <c r="AV61" s="182">
        <f t="shared" si="51"/>
        <v>324505.85886585148</v>
      </c>
      <c r="AW61" s="39">
        <f t="shared" si="52"/>
        <v>110.64590148260235</v>
      </c>
      <c r="AX61" s="182">
        <f t="shared" si="53"/>
        <v>358.3389897088997</v>
      </c>
      <c r="AY61" s="24">
        <f t="shared" si="54"/>
        <v>1.9666125188455161</v>
      </c>
      <c r="AZ61" s="187">
        <f t="shared" si="55"/>
        <v>6.4043121456749171E-279</v>
      </c>
    </row>
    <row r="62" spans="1:52" ht="15.75" thickBot="1" x14ac:dyDescent="0.3">
      <c r="A62" s="262"/>
      <c r="B62" s="15" t="s">
        <v>14</v>
      </c>
      <c r="C62" s="185">
        <f>C22/IncidenceComplications!$G19</f>
        <v>0.99985651621366789</v>
      </c>
      <c r="D62" s="118">
        <f>D22/IncidenceComplications!$G19</f>
        <v>0.85299061206083715</v>
      </c>
      <c r="E62" s="16">
        <f t="shared" si="12"/>
        <v>52433</v>
      </c>
      <c r="F62" s="40">
        <f t="shared" si="13"/>
        <v>1.0747550526790475</v>
      </c>
      <c r="G62" s="40">
        <f t="shared" si="14"/>
        <v>4.1320044417312456</v>
      </c>
      <c r="H62" s="183">
        <f t="shared" si="56"/>
        <v>146440.72523485826</v>
      </c>
      <c r="I62" s="40">
        <f t="shared" si="57"/>
        <v>94.345453113851377</v>
      </c>
      <c r="J62" s="183">
        <f t="shared" si="58"/>
        <v>44827.732078756177</v>
      </c>
      <c r="K62" s="25">
        <f t="shared" si="59"/>
        <v>1.9600169065338562</v>
      </c>
      <c r="L62" s="28">
        <f t="shared" si="15"/>
        <v>0</v>
      </c>
      <c r="M62" s="74">
        <f t="shared" si="16"/>
        <v>2521488.6113251764</v>
      </c>
      <c r="N62" s="57">
        <f t="shared" si="17"/>
        <v>51.684676163759605</v>
      </c>
      <c r="O62" s="57">
        <f t="shared" si="18"/>
        <v>535.09684154672311</v>
      </c>
      <c r="P62" s="183">
        <f t="shared" si="19"/>
        <v>19398216.298392728</v>
      </c>
      <c r="Q62" s="40">
        <f t="shared" si="20"/>
        <v>399.27828035429627</v>
      </c>
      <c r="R62" s="183">
        <f t="shared" si="21"/>
        <v>45002.918948667131</v>
      </c>
      <c r="S62" s="25">
        <f t="shared" si="22"/>
        <v>1.9600167007280866</v>
      </c>
      <c r="T62" s="28">
        <f t="shared" si="23"/>
        <v>0</v>
      </c>
      <c r="U62" s="35">
        <f t="shared" si="24"/>
        <v>5972</v>
      </c>
      <c r="V62" s="40">
        <f t="shared" si="25"/>
        <v>1.7982535380909361</v>
      </c>
      <c r="W62" s="40">
        <f t="shared" si="26"/>
        <v>4.4269525849435478</v>
      </c>
      <c r="X62" s="183">
        <f t="shared" si="27"/>
        <v>11398.132541597188</v>
      </c>
      <c r="Y62" s="40">
        <f t="shared" si="28"/>
        <v>40.565364029268991</v>
      </c>
      <c r="Z62" s="183">
        <f t="shared" si="29"/>
        <v>3176.5920826031843</v>
      </c>
      <c r="AA62" s="25">
        <f t="shared" si="30"/>
        <v>1.9607112012212924</v>
      </c>
      <c r="AB62" s="28">
        <f t="shared" si="31"/>
        <v>2.9519038545403854E-290</v>
      </c>
      <c r="AC62" s="74">
        <f t="shared" si="32"/>
        <v>310266.76643800107</v>
      </c>
      <c r="AD62" s="57">
        <f t="shared" si="33"/>
        <v>93.425705040048484</v>
      </c>
      <c r="AE62" s="57">
        <f t="shared" si="34"/>
        <v>523.06917543568784</v>
      </c>
      <c r="AF62" s="183">
        <f t="shared" si="35"/>
        <v>1480805.5200954021</v>
      </c>
      <c r="AG62" s="40">
        <f t="shared" si="36"/>
        <v>196.79903809690109</v>
      </c>
      <c r="AH62" s="183">
        <f t="shared" si="37"/>
        <v>3219.1903793265042</v>
      </c>
      <c r="AI62" s="25">
        <f t="shared" si="38"/>
        <v>1.9607012160721826</v>
      </c>
      <c r="AJ62" s="28">
        <f t="shared" si="39"/>
        <v>0</v>
      </c>
      <c r="AK62" s="35">
        <f t="shared" si="40"/>
        <v>4415</v>
      </c>
      <c r="AL62" s="40">
        <f t="shared" si="41"/>
        <v>1.8496020108923337</v>
      </c>
      <c r="AM62" s="40">
        <f t="shared" si="42"/>
        <v>4.4650925515958919</v>
      </c>
      <c r="AN62" s="183">
        <f t="shared" si="43"/>
        <v>8225.8302582341348</v>
      </c>
      <c r="AO62" s="40">
        <f t="shared" si="44"/>
        <v>35.007528719522817</v>
      </c>
      <c r="AP62" s="183">
        <f t="shared" si="45"/>
        <v>2255.3861338959036</v>
      </c>
      <c r="AQ62" s="25">
        <f t="shared" si="46"/>
        <v>1.9610165448040902</v>
      </c>
      <c r="AR62" s="28">
        <f t="shared" si="47"/>
        <v>8.3100233061439231E-215</v>
      </c>
      <c r="AS62" s="74">
        <f t="shared" si="48"/>
        <v>237579.22966216179</v>
      </c>
      <c r="AT62" s="57">
        <f t="shared" si="49"/>
        <v>99.530469066678563</v>
      </c>
      <c r="AU62" s="57">
        <f t="shared" si="50"/>
        <v>524.59702715200513</v>
      </c>
      <c r="AV62" s="183">
        <f t="shared" si="51"/>
        <v>1038796.5797457828</v>
      </c>
      <c r="AW62" s="40">
        <f t="shared" si="52"/>
        <v>175.58073229975864</v>
      </c>
      <c r="AX62" s="183">
        <f t="shared" si="53"/>
        <v>2282.7565968191402</v>
      </c>
      <c r="AY62" s="25">
        <f t="shared" si="54"/>
        <v>1.9610040847040382</v>
      </c>
      <c r="AZ62" s="188">
        <f t="shared" si="55"/>
        <v>0</v>
      </c>
    </row>
    <row r="63" spans="1:52" ht="15.75" thickTop="1" x14ac:dyDescent="0.25">
      <c r="A63" s="263">
        <v>2014</v>
      </c>
      <c r="B63" s="5" t="s">
        <v>0</v>
      </c>
      <c r="C63" s="121">
        <f>C23/IncidenceComplications!$G20</f>
        <v>1</v>
      </c>
      <c r="D63" s="116">
        <f>D23/IncidenceComplications!$G20</f>
        <v>0.9426751592356688</v>
      </c>
      <c r="E63" s="3">
        <f t="shared" si="12"/>
        <v>469</v>
      </c>
      <c r="F63" s="37">
        <f t="shared" si="13"/>
        <v>0.99575371549893843</v>
      </c>
      <c r="G63" s="37">
        <f t="shared" si="14"/>
        <v>2.8316849606395293</v>
      </c>
      <c r="H63" s="146">
        <f t="shared" si="56"/>
        <v>963.31980474836064</v>
      </c>
      <c r="I63" s="37">
        <f t="shared" si="57"/>
        <v>10.643438030035467</v>
      </c>
      <c r="J63" s="146">
        <f t="shared" si="58"/>
        <v>456.32028541007071</v>
      </c>
      <c r="K63" s="23">
        <f t="shared" si="59"/>
        <v>1.9651799346026604</v>
      </c>
      <c r="L63" s="26">
        <f t="shared" si="15"/>
        <v>8.8767760261666601E-24</v>
      </c>
      <c r="M63" s="54">
        <f t="shared" si="16"/>
        <v>24713.090859999997</v>
      </c>
      <c r="N63" s="49">
        <f t="shared" si="17"/>
        <v>52.469407346072188</v>
      </c>
      <c r="O63" s="49">
        <f t="shared" si="18"/>
        <v>274.79466690339967</v>
      </c>
      <c r="P63" s="146">
        <f t="shared" si="19"/>
        <v>69745.835682901714</v>
      </c>
      <c r="Q63" s="37">
        <f t="shared" si="20"/>
        <v>57.392293702150781</v>
      </c>
      <c r="R63" s="146">
        <f t="shared" si="21"/>
        <v>450.20713818334508</v>
      </c>
      <c r="S63" s="23">
        <f t="shared" si="22"/>
        <v>1.9652496647364686</v>
      </c>
      <c r="T63" s="26">
        <f t="shared" si="23"/>
        <v>3.7868030352848643E-209</v>
      </c>
      <c r="U63" s="2">
        <f t="shared" si="24"/>
        <v>211</v>
      </c>
      <c r="V63" s="37">
        <f t="shared" si="25"/>
        <v>1.4353741496598635</v>
      </c>
      <c r="W63" s="37">
        <f t="shared" si="26"/>
        <v>3.1492699800331798</v>
      </c>
      <c r="X63" s="146">
        <f t="shared" si="27"/>
        <v>328.41048170836302</v>
      </c>
      <c r="Y63" s="37">
        <f t="shared" si="28"/>
        <v>8.1459279272875609</v>
      </c>
      <c r="Z63" s="146">
        <f t="shared" si="29"/>
        <v>142.37640663264514</v>
      </c>
      <c r="AA63" s="23">
        <f t="shared" si="30"/>
        <v>1.9768109936328579</v>
      </c>
      <c r="AB63" s="26">
        <f t="shared" si="31"/>
        <v>1.7558407591631662E-13</v>
      </c>
      <c r="AC63" s="54">
        <f t="shared" si="32"/>
        <v>9690.1114600000001</v>
      </c>
      <c r="AD63" s="49">
        <f t="shared" si="33"/>
        <v>65.919125578231302</v>
      </c>
      <c r="AE63" s="49">
        <f t="shared" si="34"/>
        <v>405.77695580380612</v>
      </c>
      <c r="AF63" s="146">
        <f t="shared" si="35"/>
        <v>24100.676286003196</v>
      </c>
      <c r="AG63" s="37">
        <f t="shared" si="36"/>
        <v>33.967325954509718</v>
      </c>
      <c r="AH63" s="146">
        <f t="shared" si="37"/>
        <v>140.05063881560054</v>
      </c>
      <c r="AI63" s="23">
        <f t="shared" si="38"/>
        <v>1.9770537196571039</v>
      </c>
      <c r="AJ63" s="26">
        <f t="shared" si="39"/>
        <v>1.7838121724341822E-69</v>
      </c>
      <c r="AK63" s="2">
        <f t="shared" si="40"/>
        <v>72</v>
      </c>
      <c r="AL63" s="37">
        <f t="shared" si="41"/>
        <v>1.4117647058823533</v>
      </c>
      <c r="AM63" s="37">
        <f t="shared" si="42"/>
        <v>2.9484459183327982</v>
      </c>
      <c r="AN63" s="146">
        <f t="shared" si="43"/>
        <v>107.76496184467238</v>
      </c>
      <c r="AO63" s="37">
        <f t="shared" si="44"/>
        <v>4.8645144900478385</v>
      </c>
      <c r="AP63" s="146">
        <f t="shared" si="45"/>
        <v>48.482075980084794</v>
      </c>
      <c r="AQ63" s="23">
        <f t="shared" si="46"/>
        <v>2.0106347576242314</v>
      </c>
      <c r="AR63" s="26">
        <f t="shared" si="47"/>
        <v>1.2768455373015558E-5</v>
      </c>
      <c r="AS63" s="54">
        <f t="shared" si="48"/>
        <v>4150.7877399999998</v>
      </c>
      <c r="AT63" s="49">
        <f t="shared" si="49"/>
        <v>81.387994901960809</v>
      </c>
      <c r="AU63" s="49">
        <f t="shared" si="50"/>
        <v>182.86868266721612</v>
      </c>
      <c r="AV63" s="146">
        <f t="shared" si="51"/>
        <v>6984.8922524240243</v>
      </c>
      <c r="AW63" s="37">
        <f t="shared" si="52"/>
        <v>35.680009498567017</v>
      </c>
      <c r="AX63" s="146">
        <f t="shared" si="53"/>
        <v>48.63129667978734</v>
      </c>
      <c r="AY63" s="23">
        <f t="shared" si="54"/>
        <v>2.0106347576242314</v>
      </c>
      <c r="AZ63" s="186">
        <f t="shared" si="55"/>
        <v>3.2688270809759897E-36</v>
      </c>
    </row>
    <row r="64" spans="1:52" x14ac:dyDescent="0.25">
      <c r="A64" s="261"/>
      <c r="B64" s="5" t="s">
        <v>1</v>
      </c>
      <c r="C64" s="121">
        <f>C24/IncidenceComplications!$G21</f>
        <v>1</v>
      </c>
      <c r="D64" s="116">
        <f>D24/IncidenceComplications!$G21</f>
        <v>0.93333333333333335</v>
      </c>
      <c r="E64" s="3">
        <f t="shared" si="12"/>
        <v>1125</v>
      </c>
      <c r="F64" s="37">
        <f t="shared" si="13"/>
        <v>0.85227272727272751</v>
      </c>
      <c r="G64" s="37">
        <f t="shared" si="14"/>
        <v>3.0916974208857648</v>
      </c>
      <c r="H64" s="146">
        <f t="shared" si="56"/>
        <v>3016.2398622700375</v>
      </c>
      <c r="I64" s="37">
        <f t="shared" si="57"/>
        <v>14.570622154289685</v>
      </c>
      <c r="J64" s="146">
        <f t="shared" si="58"/>
        <v>1276.0855991679769</v>
      </c>
      <c r="K64" s="23">
        <f t="shared" si="59"/>
        <v>1.9618248660371784</v>
      </c>
      <c r="L64" s="26">
        <f t="shared" si="15"/>
        <v>1.3348025385080516E-44</v>
      </c>
      <c r="M64" s="54">
        <f t="shared" si="16"/>
        <v>56747.164499999984</v>
      </c>
      <c r="N64" s="49">
        <f t="shared" si="17"/>
        <v>42.990276136363633</v>
      </c>
      <c r="O64" s="49">
        <f t="shared" si="18"/>
        <v>317.02735319268811</v>
      </c>
      <c r="P64" s="146">
        <f t="shared" si="19"/>
        <v>327530.97571179189</v>
      </c>
      <c r="Q64" s="37">
        <f t="shared" si="20"/>
        <v>72.863343018527814</v>
      </c>
      <c r="R64" s="146">
        <f t="shared" si="21"/>
        <v>1282.0351582722783</v>
      </c>
      <c r="S64" s="23">
        <f t="shared" si="22"/>
        <v>1.9618161486766923</v>
      </c>
      <c r="T64" s="26">
        <f t="shared" si="23"/>
        <v>0</v>
      </c>
      <c r="U64" s="2">
        <f t="shared" si="24"/>
        <v>689</v>
      </c>
      <c r="V64" s="37">
        <f t="shared" si="25"/>
        <v>1.548314606741573</v>
      </c>
      <c r="W64" s="37">
        <f t="shared" si="26"/>
        <v>3.4891078908331057</v>
      </c>
      <c r="X64" s="146">
        <f t="shared" si="27"/>
        <v>1211.7284792016931</v>
      </c>
      <c r="Y64" s="37">
        <f t="shared" si="28"/>
        <v>14.550583112551074</v>
      </c>
      <c r="Z64" s="146">
        <f t="shared" si="29"/>
        <v>433.12506218559986</v>
      </c>
      <c r="AA64" s="23">
        <f t="shared" si="30"/>
        <v>1.9654577567212392</v>
      </c>
      <c r="AB64" s="26">
        <f t="shared" si="31"/>
        <v>2.4779153161005021E-39</v>
      </c>
      <c r="AC64" s="54">
        <f t="shared" si="32"/>
        <v>30807.126260000005</v>
      </c>
      <c r="AD64" s="49">
        <f t="shared" si="33"/>
        <v>69.229497213483143</v>
      </c>
      <c r="AE64" s="49">
        <f t="shared" si="34"/>
        <v>305.58224864348063</v>
      </c>
      <c r="AF64" s="146">
        <f t="shared" si="35"/>
        <v>90746.139330888735</v>
      </c>
      <c r="AG64" s="37">
        <f t="shared" si="36"/>
        <v>69.179567139468617</v>
      </c>
      <c r="AH64" s="146">
        <f t="shared" si="37"/>
        <v>428.83390801452924</v>
      </c>
      <c r="AI64" s="23">
        <f t="shared" si="38"/>
        <v>1.965522114974384</v>
      </c>
      <c r="AJ64" s="26">
        <f t="shared" si="39"/>
        <v>1.8288705711374413E-234</v>
      </c>
      <c r="AK64" s="2">
        <f t="shared" si="40"/>
        <v>171</v>
      </c>
      <c r="AL64" s="37">
        <f t="shared" si="41"/>
        <v>1.0555555555555558</v>
      </c>
      <c r="AM64" s="37">
        <f t="shared" si="42"/>
        <v>3.7513640389120146</v>
      </c>
      <c r="AN64" s="146">
        <f t="shared" si="43"/>
        <v>454.04024211504276</v>
      </c>
      <c r="AO64" s="37">
        <f t="shared" si="44"/>
        <v>5.7597167944895737</v>
      </c>
      <c r="AP64" s="146">
        <f t="shared" si="45"/>
        <v>156.80372664766571</v>
      </c>
      <c r="AQ64" s="23">
        <f t="shared" si="46"/>
        <v>1.9752875077034502</v>
      </c>
      <c r="AR64" s="26">
        <f t="shared" si="47"/>
        <v>4.3559783673238556E-8</v>
      </c>
      <c r="AS64" s="54">
        <f t="shared" si="48"/>
        <v>10632.20117</v>
      </c>
      <c r="AT64" s="49">
        <f t="shared" si="49"/>
        <v>65.630871419753078</v>
      </c>
      <c r="AU64" s="49">
        <f t="shared" si="50"/>
        <v>273.8708070015785</v>
      </c>
      <c r="AV64" s="146">
        <f t="shared" si="51"/>
        <v>35700.039918344963</v>
      </c>
      <c r="AW64" s="37">
        <f t="shared" si="52"/>
        <v>42.18293006556533</v>
      </c>
      <c r="AX64" s="146">
        <f t="shared" si="53"/>
        <v>157.63602688706317</v>
      </c>
      <c r="AY64" s="23">
        <f t="shared" si="54"/>
        <v>1.9751891630765959</v>
      </c>
      <c r="AZ64" s="186">
        <f t="shared" si="55"/>
        <v>1.4805920454081079E-87</v>
      </c>
    </row>
    <row r="65" spans="1:52" x14ac:dyDescent="0.25">
      <c r="A65" s="261"/>
      <c r="B65" s="5" t="s">
        <v>2</v>
      </c>
      <c r="C65" s="121">
        <f>C25/IncidenceComplications!$G22</f>
        <v>1</v>
      </c>
      <c r="D65" s="116">
        <f>D25/IncidenceComplications!$G22</f>
        <v>0.8224852071005917</v>
      </c>
      <c r="E65" s="3">
        <f t="shared" si="12"/>
        <v>883</v>
      </c>
      <c r="F65" s="37">
        <f t="shared" si="13"/>
        <v>1.0449704142011833</v>
      </c>
      <c r="G65" s="37">
        <f t="shared" si="14"/>
        <v>2.8597114305071094</v>
      </c>
      <c r="H65" s="146">
        <f t="shared" si="56"/>
        <v>1745.7316320971086</v>
      </c>
      <c r="I65" s="37">
        <f t="shared" si="57"/>
        <v>14.367971359748005</v>
      </c>
      <c r="J65" s="146">
        <f t="shared" si="58"/>
        <v>757.81223542127771</v>
      </c>
      <c r="K65" s="23">
        <f t="shared" si="59"/>
        <v>1.9631026955386097</v>
      </c>
      <c r="L65" s="26">
        <f t="shared" si="15"/>
        <v>1.4291636765489754E-41</v>
      </c>
      <c r="M65" s="54">
        <f t="shared" si="16"/>
        <v>44222.09616999999</v>
      </c>
      <c r="N65" s="49">
        <f t="shared" si="17"/>
        <v>52.333841621301758</v>
      </c>
      <c r="O65" s="49">
        <f t="shared" si="18"/>
        <v>455.91643850157038</v>
      </c>
      <c r="P65" s="146">
        <f t="shared" si="19"/>
        <v>308798.25193204131</v>
      </c>
      <c r="Q65" s="37">
        <f t="shared" si="20"/>
        <v>57.635326836036839</v>
      </c>
      <c r="R65" s="146">
        <f t="shared" si="21"/>
        <v>776.45591882066594</v>
      </c>
      <c r="S65" s="23">
        <f t="shared" si="22"/>
        <v>1.9630257277340748</v>
      </c>
      <c r="T65" s="26">
        <f t="shared" si="23"/>
        <v>1.2523055901470355E-282</v>
      </c>
      <c r="U65" s="2">
        <f t="shared" si="24"/>
        <v>261</v>
      </c>
      <c r="V65" s="37">
        <f t="shared" si="25"/>
        <v>1.7399999999999998</v>
      </c>
      <c r="W65" s="37">
        <f t="shared" si="26"/>
        <v>2.9132498362655257</v>
      </c>
      <c r="X65" s="146">
        <f t="shared" si="27"/>
        <v>313.36189280492073</v>
      </c>
      <c r="Y65" s="37">
        <f t="shared" si="28"/>
        <v>10.019487342891306</v>
      </c>
      <c r="Z65" s="146">
        <f t="shared" si="29"/>
        <v>134.67837238252199</v>
      </c>
      <c r="AA65" s="23">
        <f t="shared" si="30"/>
        <v>1.9778257580871246</v>
      </c>
      <c r="AB65" s="26">
        <f t="shared" si="31"/>
        <v>5.5927428256343926E-18</v>
      </c>
      <c r="AC65" s="54">
        <f t="shared" si="32"/>
        <v>19486.12716</v>
      </c>
      <c r="AD65" s="49">
        <f t="shared" si="33"/>
        <v>129.9075144</v>
      </c>
      <c r="AE65" s="49">
        <f t="shared" si="34"/>
        <v>697.50953369666388</v>
      </c>
      <c r="AF65" s="146">
        <f t="shared" si="35"/>
        <v>100107.63473725939</v>
      </c>
      <c r="AG65" s="37">
        <f t="shared" si="36"/>
        <v>53.074714444678214</v>
      </c>
      <c r="AH65" s="146">
        <f t="shared" si="37"/>
        <v>146.42436338205403</v>
      </c>
      <c r="AI65" s="23">
        <f t="shared" si="38"/>
        <v>1.9763456545938156</v>
      </c>
      <c r="AJ65" s="26">
        <f t="shared" si="39"/>
        <v>2.4659698776345115E-97</v>
      </c>
      <c r="AK65" s="2">
        <f t="shared" si="40"/>
        <v>98</v>
      </c>
      <c r="AL65" s="37">
        <f t="shared" si="41"/>
        <v>1.4411764705882355</v>
      </c>
      <c r="AM65" s="37">
        <f t="shared" si="42"/>
        <v>2.8055194564544288</v>
      </c>
      <c r="AN65" s="146">
        <f t="shared" si="43"/>
        <v>142.15447608077554</v>
      </c>
      <c r="AO65" s="37">
        <f t="shared" si="44"/>
        <v>5.6679751485288588</v>
      </c>
      <c r="AP65" s="146">
        <f t="shared" si="45"/>
        <v>59.964498950397065</v>
      </c>
      <c r="AQ65" s="23">
        <f t="shared" si="46"/>
        <v>2.0009953780882688</v>
      </c>
      <c r="AR65" s="26">
        <f t="shared" si="47"/>
        <v>4.565857805385215E-7</v>
      </c>
      <c r="AS65" s="54">
        <f t="shared" si="48"/>
        <v>1883.4073100000005</v>
      </c>
      <c r="AT65" s="49">
        <f t="shared" si="49"/>
        <v>27.697166323529416</v>
      </c>
      <c r="AU65" s="49">
        <f t="shared" si="50"/>
        <v>248.49684149112804</v>
      </c>
      <c r="AV65" s="146">
        <f t="shared" si="51"/>
        <v>9698.7741423398293</v>
      </c>
      <c r="AW65" s="37">
        <f t="shared" si="52"/>
        <v>11.501848057846681</v>
      </c>
      <c r="AX65" s="146">
        <f t="shared" si="53"/>
        <v>57.192455203361533</v>
      </c>
      <c r="AY65" s="23">
        <f t="shared" si="54"/>
        <v>2.0024654592910065</v>
      </c>
      <c r="AZ65" s="186">
        <f t="shared" si="55"/>
        <v>1.7414460492862418E-16</v>
      </c>
    </row>
    <row r="66" spans="1:52" x14ac:dyDescent="0.25">
      <c r="A66" s="261"/>
      <c r="B66" s="5" t="s">
        <v>3</v>
      </c>
      <c r="C66" s="121">
        <f>C26/IncidenceComplications!$G23</f>
        <v>1</v>
      </c>
      <c r="D66" s="116">
        <f>D26/IncidenceComplications!$G23</f>
        <v>0.79164142943670501</v>
      </c>
      <c r="E66" s="3">
        <f t="shared" si="12"/>
        <v>2134</v>
      </c>
      <c r="F66" s="37">
        <f t="shared" si="13"/>
        <v>1.2925499697153242</v>
      </c>
      <c r="G66" s="37">
        <f t="shared" si="14"/>
        <v>3.5744221843875699</v>
      </c>
      <c r="H66" s="146">
        <f t="shared" si="56"/>
        <v>4406.9716451402292</v>
      </c>
      <c r="I66" s="37">
        <f t="shared" si="57"/>
        <v>22.052551693463386</v>
      </c>
      <c r="J66" s="146">
        <f t="shared" si="58"/>
        <v>1457.9594874685351</v>
      </c>
      <c r="K66" s="23">
        <f t="shared" si="59"/>
        <v>1.9615935038492951</v>
      </c>
      <c r="L66" s="26">
        <f t="shared" si="15"/>
        <v>3.1377294912356857E-93</v>
      </c>
      <c r="M66" s="54">
        <f t="shared" si="16"/>
        <v>100389.49841</v>
      </c>
      <c r="N66" s="49">
        <f t="shared" si="17"/>
        <v>60.8052685705633</v>
      </c>
      <c r="O66" s="49">
        <f t="shared" si="18"/>
        <v>414.80907491067688</v>
      </c>
      <c r="P66" s="146">
        <f t="shared" si="19"/>
        <v>508376.41342123109</v>
      </c>
      <c r="Q66" s="37">
        <f t="shared" si="20"/>
        <v>96.245757147994993</v>
      </c>
      <c r="R66" s="146">
        <f t="shared" si="21"/>
        <v>1455.6830405829528</v>
      </c>
      <c r="S66" s="23">
        <f t="shared" si="22"/>
        <v>1.9615957455707205</v>
      </c>
      <c r="T66" s="26">
        <f t="shared" si="23"/>
        <v>0</v>
      </c>
      <c r="U66" s="2">
        <f t="shared" si="24"/>
        <v>263</v>
      </c>
      <c r="V66" s="37">
        <f t="shared" si="25"/>
        <v>2.1557377049180326</v>
      </c>
      <c r="W66" s="37">
        <f t="shared" si="26"/>
        <v>4.1502811993079201</v>
      </c>
      <c r="X66" s="146">
        <f t="shared" si="27"/>
        <v>359.5694034219519</v>
      </c>
      <c r="Y66" s="37">
        <f t="shared" si="28"/>
        <v>9.3832223688086618</v>
      </c>
      <c r="Z66" s="146">
        <f t="shared" si="29"/>
        <v>109.39357952519748</v>
      </c>
      <c r="AA66" s="23">
        <f t="shared" si="30"/>
        <v>1.9819674897364858</v>
      </c>
      <c r="AB66" s="26">
        <f t="shared" si="31"/>
        <v>1.0924172765501217E-15</v>
      </c>
      <c r="AC66" s="54">
        <f t="shared" si="32"/>
        <v>14876.024550000002</v>
      </c>
      <c r="AD66" s="49">
        <f t="shared" si="33"/>
        <v>121.93462745901641</v>
      </c>
      <c r="AE66" s="49">
        <f t="shared" si="34"/>
        <v>471.61127328008189</v>
      </c>
      <c r="AF66" s="146">
        <f t="shared" si="35"/>
        <v>49986.696267751031</v>
      </c>
      <c r="AG66" s="37">
        <f t="shared" si="36"/>
        <v>51.413354355001182</v>
      </c>
      <c r="AH66" s="146">
        <f t="shared" si="37"/>
        <v>114.86620022430245</v>
      </c>
      <c r="AI66" s="23">
        <f t="shared" si="38"/>
        <v>1.9809922979758596</v>
      </c>
      <c r="AJ66" s="26">
        <f t="shared" si="39"/>
        <v>1.0404797097270947E-80</v>
      </c>
      <c r="AK66" s="2">
        <f t="shared" si="40"/>
        <v>166</v>
      </c>
      <c r="AL66" s="37">
        <f t="shared" si="41"/>
        <v>1.9080459770114939</v>
      </c>
      <c r="AM66" s="37">
        <f t="shared" si="42"/>
        <v>3.6071448893652103</v>
      </c>
      <c r="AN66" s="146">
        <f t="shared" si="43"/>
        <v>240.33626727749893</v>
      </c>
      <c r="AO66" s="37">
        <f t="shared" si="44"/>
        <v>7.6266852373563419</v>
      </c>
      <c r="AP66" s="146">
        <f t="shared" si="45"/>
        <v>80.256935634624526</v>
      </c>
      <c r="AQ66" s="23">
        <f t="shared" si="46"/>
        <v>1.9900634212544475</v>
      </c>
      <c r="AR66" s="26">
        <f t="shared" si="47"/>
        <v>4.3391583324254497E-11</v>
      </c>
      <c r="AS66" s="54">
        <f t="shared" si="48"/>
        <v>8966.719869999999</v>
      </c>
      <c r="AT66" s="49">
        <f t="shared" si="49"/>
        <v>103.06574563218388</v>
      </c>
      <c r="AU66" s="49">
        <f t="shared" si="50"/>
        <v>402.22528965147075</v>
      </c>
      <c r="AV66" s="146">
        <f t="shared" si="51"/>
        <v>27681.509290425747</v>
      </c>
      <c r="AW66" s="37">
        <f t="shared" si="52"/>
        <v>39.168655493049698</v>
      </c>
      <c r="AX66" s="146">
        <f t="shared" si="53"/>
        <v>80.763515356316717</v>
      </c>
      <c r="AY66" s="23">
        <f t="shared" si="54"/>
        <v>1.9900634212544475</v>
      </c>
      <c r="AZ66" s="186">
        <f t="shared" si="55"/>
        <v>5.8248202351956926E-54</v>
      </c>
    </row>
    <row r="67" spans="1:52" x14ac:dyDescent="0.25">
      <c r="A67" s="261"/>
      <c r="B67" s="5" t="s">
        <v>4</v>
      </c>
      <c r="C67" s="121">
        <f>C27/IncidenceComplications!$G24</f>
        <v>1</v>
      </c>
      <c r="D67" s="116">
        <f>D27/IncidenceComplications!$G24</f>
        <v>0.79123361952101223</v>
      </c>
      <c r="E67" s="3">
        <f t="shared" si="12"/>
        <v>8844</v>
      </c>
      <c r="F67" s="37">
        <f t="shared" si="13"/>
        <v>1.3321283325802078</v>
      </c>
      <c r="G67" s="37">
        <f t="shared" si="14"/>
        <v>4.414038303673907</v>
      </c>
      <c r="H67" s="146">
        <f t="shared" si="56"/>
        <v>21274.52045728192</v>
      </c>
      <c r="I67" s="37">
        <f t="shared" si="57"/>
        <v>40.905464307699965</v>
      </c>
      <c r="J67" s="146">
        <f t="shared" si="58"/>
        <v>5821.6788161532268</v>
      </c>
      <c r="K67" s="23">
        <f t="shared" si="59"/>
        <v>1.9603716045689448</v>
      </c>
      <c r="L67" s="26">
        <f t="shared" si="15"/>
        <v>0</v>
      </c>
      <c r="M67" s="54">
        <f t="shared" si="16"/>
        <v>348547.57003000006</v>
      </c>
      <c r="N67" s="49">
        <f t="shared" si="17"/>
        <v>52.500010548275327</v>
      </c>
      <c r="O67" s="49">
        <f t="shared" si="18"/>
        <v>441.74441235136851</v>
      </c>
      <c r="P67" s="146">
        <f t="shared" si="19"/>
        <v>1950684.1944960475</v>
      </c>
      <c r="Q67" s="37">
        <f t="shared" si="20"/>
        <v>160.45906322616904</v>
      </c>
      <c r="R67" s="146">
        <f t="shared" si="21"/>
        <v>5712.0540426496555</v>
      </c>
      <c r="S67" s="23">
        <f t="shared" si="22"/>
        <v>1.960379384652666</v>
      </c>
      <c r="T67" s="26">
        <f t="shared" si="23"/>
        <v>0</v>
      </c>
      <c r="U67" s="2">
        <f t="shared" si="24"/>
        <v>592</v>
      </c>
      <c r="V67" s="37">
        <f t="shared" si="25"/>
        <v>2.2007434944237914</v>
      </c>
      <c r="W67" s="37">
        <f t="shared" si="26"/>
        <v>4.9471938245895446</v>
      </c>
      <c r="X67" s="146">
        <f t="shared" si="27"/>
        <v>1067.2011341936604</v>
      </c>
      <c r="Y67" s="37">
        <f t="shared" si="28"/>
        <v>13.128900265072804</v>
      </c>
      <c r="Z67" s="146">
        <f t="shared" si="29"/>
        <v>246.49708341307627</v>
      </c>
      <c r="AA67" s="23">
        <f t="shared" si="30"/>
        <v>1.969654176178919</v>
      </c>
      <c r="AB67" s="26">
        <f t="shared" si="31"/>
        <v>3.3840933552516054E-30</v>
      </c>
      <c r="AC67" s="54">
        <f t="shared" si="32"/>
        <v>27345.214019999999</v>
      </c>
      <c r="AD67" s="49">
        <f t="shared" si="33"/>
        <v>101.65507070631969</v>
      </c>
      <c r="AE67" s="49">
        <f t="shared" si="34"/>
        <v>356.06288671497367</v>
      </c>
      <c r="AF67" s="146">
        <f t="shared" si="35"/>
        <v>74459.075580565579</v>
      </c>
      <c r="AG67" s="37">
        <f t="shared" si="36"/>
        <v>71.151996889378267</v>
      </c>
      <c r="AH67" s="146">
        <f t="shared" si="37"/>
        <v>244.50015489346026</v>
      </c>
      <c r="AI67" s="23">
        <f t="shared" si="38"/>
        <v>1.9697339922723811</v>
      </c>
      <c r="AJ67" s="26">
        <f t="shared" si="39"/>
        <v>3.5631471700953812E-165</v>
      </c>
      <c r="AK67" s="2">
        <f t="shared" si="40"/>
        <v>406</v>
      </c>
      <c r="AL67" s="37">
        <f t="shared" si="41"/>
        <v>2.5061728395061729</v>
      </c>
      <c r="AM67" s="37">
        <f t="shared" si="42"/>
        <v>4.6648341730577254</v>
      </c>
      <c r="AN67" s="146">
        <f t="shared" si="43"/>
        <v>594.59256252118087</v>
      </c>
      <c r="AO67" s="37">
        <f t="shared" si="44"/>
        <v>11.869631773411818</v>
      </c>
      <c r="AP67" s="146">
        <f t="shared" si="45"/>
        <v>146.12485473532229</v>
      </c>
      <c r="AQ67" s="23">
        <f t="shared" si="46"/>
        <v>1.9763456545938156</v>
      </c>
      <c r="AR67" s="26">
        <f t="shared" si="47"/>
        <v>3.5907558146745255E-23</v>
      </c>
      <c r="AS67" s="54">
        <f t="shared" si="48"/>
        <v>16147.067620000002</v>
      </c>
      <c r="AT67" s="49">
        <f t="shared" si="49"/>
        <v>99.673256913580275</v>
      </c>
      <c r="AU67" s="49">
        <f t="shared" si="50"/>
        <v>428.70103003638093</v>
      </c>
      <c r="AV67" s="146">
        <f t="shared" si="51"/>
        <v>52065.388287395144</v>
      </c>
      <c r="AW67" s="37">
        <f t="shared" si="52"/>
        <v>48.947810059656476</v>
      </c>
      <c r="AX67" s="146">
        <f t="shared" si="53"/>
        <v>144.26585673335276</v>
      </c>
      <c r="AY67" s="23">
        <f t="shared" si="54"/>
        <v>1.9765750658304413</v>
      </c>
      <c r="AZ67" s="186">
        <f t="shared" si="55"/>
        <v>1.2301259378222746E-91</v>
      </c>
    </row>
    <row r="68" spans="1:52" x14ac:dyDescent="0.25">
      <c r="A68" s="261"/>
      <c r="B68" s="5" t="s">
        <v>5</v>
      </c>
      <c r="C68" s="121">
        <f>C28/IncidenceComplications!$G25</f>
        <v>1</v>
      </c>
      <c r="D68" s="116">
        <f>D28/IncidenceComplications!$G25</f>
        <v>0.82654616724738672</v>
      </c>
      <c r="E68" s="3">
        <f t="shared" si="12"/>
        <v>11188</v>
      </c>
      <c r="F68" s="37">
        <f t="shared" si="13"/>
        <v>1.2182055749128922</v>
      </c>
      <c r="G68" s="37">
        <f t="shared" si="14"/>
        <v>4.9614936079705982</v>
      </c>
      <c r="H68" s="146">
        <f t="shared" si="56"/>
        <v>32825.173202564598</v>
      </c>
      <c r="I68" s="37">
        <f t="shared" si="57"/>
        <v>41.969894825149616</v>
      </c>
      <c r="J68" s="146">
        <f t="shared" si="58"/>
        <v>8265.9937601971342</v>
      </c>
      <c r="K68" s="23">
        <f t="shared" si="59"/>
        <v>1.9602510520249226</v>
      </c>
      <c r="L68" s="26">
        <f t="shared" si="15"/>
        <v>0</v>
      </c>
      <c r="M68" s="54">
        <f t="shared" si="16"/>
        <v>472666.99482000014</v>
      </c>
      <c r="N68" s="49">
        <f t="shared" si="17"/>
        <v>51.466353965592361</v>
      </c>
      <c r="O68" s="49">
        <f t="shared" si="18"/>
        <v>744.0569547586723</v>
      </c>
      <c r="P68" s="146">
        <f t="shared" si="19"/>
        <v>4096975.812464708</v>
      </c>
      <c r="Q68" s="37">
        <f t="shared" si="20"/>
        <v>144.40588497994963</v>
      </c>
      <c r="R68" s="146">
        <f t="shared" si="21"/>
        <v>8031.5150736898313</v>
      </c>
      <c r="S68" s="23">
        <f t="shared" si="22"/>
        <v>1.960259417576993</v>
      </c>
      <c r="T68" s="26">
        <f t="shared" si="23"/>
        <v>0</v>
      </c>
      <c r="U68" s="2">
        <f t="shared" si="24"/>
        <v>721</v>
      </c>
      <c r="V68" s="37">
        <f t="shared" si="25"/>
        <v>2.2816455696202529</v>
      </c>
      <c r="W68" s="37">
        <f t="shared" si="26"/>
        <v>6.0795435609578554</v>
      </c>
      <c r="X68" s="146">
        <f t="shared" si="27"/>
        <v>1481.5731136687079</v>
      </c>
      <c r="Y68" s="37">
        <f t="shared" si="28"/>
        <v>13.287935092573623</v>
      </c>
      <c r="Z68" s="146">
        <f t="shared" si="29"/>
        <v>289.43180729781506</v>
      </c>
      <c r="AA68" s="23">
        <f t="shared" si="30"/>
        <v>1.9682064355045283</v>
      </c>
      <c r="AB68" s="26">
        <f t="shared" si="31"/>
        <v>9.0209720543227519E-32</v>
      </c>
      <c r="AC68" s="54">
        <f t="shared" si="32"/>
        <v>49156.017209999991</v>
      </c>
      <c r="AD68" s="49">
        <f t="shared" si="33"/>
        <v>155.55701648734177</v>
      </c>
      <c r="AE68" s="49">
        <f t="shared" si="34"/>
        <v>614.36362653341712</v>
      </c>
      <c r="AF68" s="146">
        <f t="shared" si="35"/>
        <v>155484.12792150746</v>
      </c>
      <c r="AG68" s="37">
        <f t="shared" si="36"/>
        <v>90.590047612915498</v>
      </c>
      <c r="AH68" s="146">
        <f t="shared" si="37"/>
        <v>292.01648732832723</v>
      </c>
      <c r="AI68" s="23">
        <f t="shared" si="38"/>
        <v>1.9681214070096222</v>
      </c>
      <c r="AJ68" s="26">
        <f t="shared" si="39"/>
        <v>8.6679569651563867E-216</v>
      </c>
      <c r="AK68" s="2">
        <f t="shared" si="40"/>
        <v>759</v>
      </c>
      <c r="AL68" s="37">
        <f t="shared" si="41"/>
        <v>1.8377723970944313</v>
      </c>
      <c r="AM68" s="37">
        <f t="shared" si="42"/>
        <v>5.5482545384408217</v>
      </c>
      <c r="AN68" s="146">
        <f t="shared" si="43"/>
        <v>1636.415755781986</v>
      </c>
      <c r="AO68" s="37">
        <f t="shared" si="44"/>
        <v>12.707944306075758</v>
      </c>
      <c r="AP68" s="146">
        <f t="shared" si="45"/>
        <v>371.33831810929462</v>
      </c>
      <c r="AQ68" s="23">
        <f t="shared" si="46"/>
        <v>1.9663788029858928</v>
      </c>
      <c r="AR68" s="26">
        <f t="shared" si="47"/>
        <v>5.7704803655223409E-31</v>
      </c>
      <c r="AS68" s="54">
        <f t="shared" si="48"/>
        <v>14947.32432</v>
      </c>
      <c r="AT68" s="49">
        <f t="shared" si="49"/>
        <v>36.192068571428592</v>
      </c>
      <c r="AU68" s="49">
        <f t="shared" si="50"/>
        <v>965.11079573511017</v>
      </c>
      <c r="AV68" s="146">
        <f t="shared" si="51"/>
        <v>157399.38711124123</v>
      </c>
      <c r="AW68" s="37">
        <f t="shared" si="52"/>
        <v>19.323986589441073</v>
      </c>
      <c r="AX68" s="146">
        <f t="shared" si="53"/>
        <v>349.90607852581348</v>
      </c>
      <c r="AY68" s="23">
        <f t="shared" si="54"/>
        <v>1.9667845565748452</v>
      </c>
      <c r="AZ68" s="186">
        <f t="shared" si="55"/>
        <v>4.3347078067896325E-57</v>
      </c>
    </row>
    <row r="69" spans="1:52" x14ac:dyDescent="0.25">
      <c r="A69" s="261"/>
      <c r="B69" s="6" t="s">
        <v>6</v>
      </c>
      <c r="C69" s="122">
        <f>C29/IncidenceComplications!$G26</f>
        <v>0.99959855479727022</v>
      </c>
      <c r="D69" s="117">
        <f>D29/IncidenceComplications!$G26</f>
        <v>0.93817743877960658</v>
      </c>
      <c r="E69" s="10">
        <f t="shared" si="12"/>
        <v>2633</v>
      </c>
      <c r="F69" s="39">
        <f t="shared" si="13"/>
        <v>1.0570052187876353</v>
      </c>
      <c r="G69" s="39">
        <f t="shared" si="14"/>
        <v>5.6636500647376193</v>
      </c>
      <c r="H69" s="182">
        <f t="shared" si="56"/>
        <v>10363.925630229667</v>
      </c>
      <c r="I69" s="39">
        <f t="shared" si="57"/>
        <v>18.35827515062962</v>
      </c>
      <c r="J69" s="182">
        <f t="shared" si="58"/>
        <v>2413.8298492829772</v>
      </c>
      <c r="K69" s="24">
        <f t="shared" si="59"/>
        <v>1.9609475905800609</v>
      </c>
      <c r="L69" s="27">
        <f t="shared" si="15"/>
        <v>1.4477176601612661E-70</v>
      </c>
      <c r="M69" s="55">
        <f t="shared" si="16"/>
        <v>153348.30125000002</v>
      </c>
      <c r="N69" s="50">
        <f t="shared" si="17"/>
        <v>61.560939883580886</v>
      </c>
      <c r="O69" s="50">
        <f t="shared" si="18"/>
        <v>1038.9582214619861</v>
      </c>
      <c r="P69" s="182">
        <f t="shared" si="19"/>
        <v>1841921.3697551694</v>
      </c>
      <c r="Q69" s="39">
        <f t="shared" si="20"/>
        <v>78.869444850126428</v>
      </c>
      <c r="R69" s="182">
        <f t="shared" si="21"/>
        <v>2408.743613031314</v>
      </c>
      <c r="S69" s="24">
        <f t="shared" si="22"/>
        <v>1.9609496339607593</v>
      </c>
      <c r="T69" s="27">
        <f t="shared" si="23"/>
        <v>0</v>
      </c>
      <c r="U69" s="8">
        <f t="shared" si="24"/>
        <v>204</v>
      </c>
      <c r="V69" s="39">
        <f t="shared" si="25"/>
        <v>1.8214285714285721</v>
      </c>
      <c r="W69" s="39">
        <f t="shared" si="26"/>
        <v>6.1437493740106603</v>
      </c>
      <c r="X69" s="182">
        <f t="shared" si="27"/>
        <v>532.489393296456</v>
      </c>
      <c r="Y69" s="39">
        <f t="shared" si="28"/>
        <v>6.4766649074816947</v>
      </c>
      <c r="Z69" s="182">
        <f t="shared" si="29"/>
        <v>108.47213232997844</v>
      </c>
      <c r="AA69" s="24">
        <f t="shared" si="30"/>
        <v>1.982173483307728</v>
      </c>
      <c r="AB69" s="27">
        <f t="shared" si="31"/>
        <v>2.8537418027797717E-9</v>
      </c>
      <c r="AC69" s="55">
        <f t="shared" si="32"/>
        <v>32973.311720000005</v>
      </c>
      <c r="AD69" s="50">
        <f t="shared" si="33"/>
        <v>294.40456892857145</v>
      </c>
      <c r="AE69" s="50">
        <f t="shared" si="34"/>
        <v>1654.981446802117</v>
      </c>
      <c r="AF69" s="182">
        <f t="shared" si="35"/>
        <v>174837.12486066567</v>
      </c>
      <c r="AG69" s="39">
        <f t="shared" si="36"/>
        <v>67.718372866611574</v>
      </c>
      <c r="AH69" s="182">
        <f t="shared" si="37"/>
        <v>110.35861485820563</v>
      </c>
      <c r="AI69" s="24">
        <f t="shared" si="38"/>
        <v>1.9817652821323735</v>
      </c>
      <c r="AJ69" s="27">
        <f t="shared" si="39"/>
        <v>1.6519349408415184E-91</v>
      </c>
      <c r="AK69" s="8">
        <f t="shared" si="40"/>
        <v>286</v>
      </c>
      <c r="AL69" s="39">
        <f t="shared" si="41"/>
        <v>1.2767857142857144</v>
      </c>
      <c r="AM69" s="39">
        <f t="shared" si="42"/>
        <v>5.8445523730002691</v>
      </c>
      <c r="AN69" s="182">
        <f t="shared" si="43"/>
        <v>994.72251910365765</v>
      </c>
      <c r="AO69" s="39">
        <f t="shared" si="44"/>
        <v>6.5884101169728222</v>
      </c>
      <c r="AP69" s="182">
        <f t="shared" si="45"/>
        <v>218.54157544095736</v>
      </c>
      <c r="AQ69" s="24">
        <f t="shared" si="46"/>
        <v>1.9709056010794814</v>
      </c>
      <c r="AR69" s="27">
        <f t="shared" si="47"/>
        <v>3.2872944086645773E-10</v>
      </c>
      <c r="AS69" s="55">
        <f t="shared" si="48"/>
        <v>36711.826220000003</v>
      </c>
      <c r="AT69" s="50">
        <f t="shared" si="49"/>
        <v>163.89208133928577</v>
      </c>
      <c r="AU69" s="50">
        <f t="shared" si="50"/>
        <v>1255.8502701885277</v>
      </c>
      <c r="AV69" s="182">
        <f t="shared" si="51"/>
        <v>254783.39523923997</v>
      </c>
      <c r="AW69" s="39">
        <f t="shared" si="52"/>
        <v>59.745720397167368</v>
      </c>
      <c r="AX69" s="182">
        <f t="shared" si="53"/>
        <v>220.5846480184702</v>
      </c>
      <c r="AY69" s="24">
        <f t="shared" si="54"/>
        <v>1.9708055923849004</v>
      </c>
      <c r="AZ69" s="187">
        <f t="shared" si="55"/>
        <v>5.8202571833979549E-138</v>
      </c>
    </row>
    <row r="70" spans="1:52" ht="15.75" thickBot="1" x14ac:dyDescent="0.3">
      <c r="A70" s="262"/>
      <c r="B70" s="15" t="s">
        <v>14</v>
      </c>
      <c r="C70" s="185">
        <f>C30/IncidenceComplications!$G27</f>
        <v>0.99995575417016946</v>
      </c>
      <c r="D70" s="118">
        <f>D30/IncidenceComplications!$G27</f>
        <v>0.83443210477412499</v>
      </c>
      <c r="E70" s="16">
        <f t="shared" si="12"/>
        <v>27276</v>
      </c>
      <c r="F70" s="40">
        <f t="shared" si="13"/>
        <v>1.2068492544577678</v>
      </c>
      <c r="G70" s="40">
        <f t="shared" si="14"/>
        <v>4.0480782230703491</v>
      </c>
      <c r="H70" s="183">
        <f t="shared" si="56"/>
        <v>66823.332300167953</v>
      </c>
      <c r="I70" s="40">
        <f t="shared" si="57"/>
        <v>72.455502557797558</v>
      </c>
      <c r="J70" s="183">
        <f t="shared" si="58"/>
        <v>20516.567272123662</v>
      </c>
      <c r="K70" s="25">
        <f t="shared" si="59"/>
        <v>1.9600796215452438</v>
      </c>
      <c r="L70" s="28">
        <f t="shared" si="15"/>
        <v>0</v>
      </c>
      <c r="M70" s="74">
        <f t="shared" si="16"/>
        <v>1200634.7160400003</v>
      </c>
      <c r="N70" s="57">
        <f t="shared" si="17"/>
        <v>53.123079334542695</v>
      </c>
      <c r="O70" s="57">
        <f t="shared" si="18"/>
        <v>583.60185582625945</v>
      </c>
      <c r="P70" s="183">
        <f t="shared" si="19"/>
        <v>9140165.9113460109</v>
      </c>
      <c r="Q70" s="40">
        <f t="shared" si="20"/>
        <v>264.93681868600419</v>
      </c>
      <c r="R70" s="183">
        <f t="shared" si="21"/>
        <v>20322.681837190568</v>
      </c>
      <c r="S70" s="25">
        <f t="shared" si="22"/>
        <v>1.9600807255156685</v>
      </c>
      <c r="T70" s="28">
        <f t="shared" si="23"/>
        <v>0</v>
      </c>
      <c r="U70" s="35">
        <f t="shared" si="24"/>
        <v>2941</v>
      </c>
      <c r="V70" s="40">
        <f t="shared" si="25"/>
        <v>1.8840486867392698</v>
      </c>
      <c r="W70" s="40">
        <f t="shared" si="26"/>
        <v>4.5823398100150188</v>
      </c>
      <c r="X70" s="183">
        <f t="shared" si="27"/>
        <v>5480.8669053230951</v>
      </c>
      <c r="Y70" s="40">
        <f t="shared" si="28"/>
        <v>28.444230493910663</v>
      </c>
      <c r="Z70" s="183">
        <f t="shared" si="29"/>
        <v>1472.7331256402122</v>
      </c>
      <c r="AA70" s="25">
        <f t="shared" si="30"/>
        <v>1.9615768852660711</v>
      </c>
      <c r="AB70" s="28">
        <f t="shared" si="31"/>
        <v>3.4039824474212022E-142</v>
      </c>
      <c r="AC70" s="74">
        <f t="shared" si="32"/>
        <v>184333.93238000001</v>
      </c>
      <c r="AD70" s="57">
        <f t="shared" si="33"/>
        <v>118.08708032030751</v>
      </c>
      <c r="AE70" s="57">
        <f t="shared" si="34"/>
        <v>775.53292509937307</v>
      </c>
      <c r="AF70" s="183">
        <f t="shared" si="35"/>
        <v>1100565.0677142791</v>
      </c>
      <c r="AG70" s="40">
        <f t="shared" si="36"/>
        <v>142.58040094528116</v>
      </c>
      <c r="AH70" s="183">
        <f t="shared" si="37"/>
        <v>1521.0770404981106</v>
      </c>
      <c r="AI70" s="25">
        <f t="shared" si="38"/>
        <v>1.9615248839625421</v>
      </c>
      <c r="AJ70" s="28">
        <f t="shared" si="39"/>
        <v>0</v>
      </c>
      <c r="AK70" s="35">
        <f t="shared" si="40"/>
        <v>1958</v>
      </c>
      <c r="AL70" s="40">
        <f t="shared" si="41"/>
        <v>1.6778063410454154</v>
      </c>
      <c r="AM70" s="40">
        <f t="shared" si="42"/>
        <v>4.3152735037537298</v>
      </c>
      <c r="AN70" s="183">
        <f t="shared" si="43"/>
        <v>3788.8473876900753</v>
      </c>
      <c r="AO70" s="40">
        <f t="shared" si="44"/>
        <v>22.480511810141302</v>
      </c>
      <c r="AP70" s="183">
        <f t="shared" si="45"/>
        <v>1092.1601917143187</v>
      </c>
      <c r="AQ70" s="25">
        <f t="shared" si="46"/>
        <v>1.9621387630020857</v>
      </c>
      <c r="AR70" s="28">
        <f t="shared" si="47"/>
        <v>2.7631912591865685E-92</v>
      </c>
      <c r="AS70" s="74">
        <f t="shared" si="48"/>
        <v>93439.334249999956</v>
      </c>
      <c r="AT70" s="57">
        <f t="shared" si="49"/>
        <v>80.067981362467833</v>
      </c>
      <c r="AU70" s="57">
        <f t="shared" si="50"/>
        <v>657.30677336990891</v>
      </c>
      <c r="AV70" s="183">
        <f t="shared" si="51"/>
        <v>583582.16155273665</v>
      </c>
      <c r="AW70" s="40">
        <f t="shared" si="52"/>
        <v>87.004535698291306</v>
      </c>
      <c r="AX70" s="183">
        <f t="shared" si="53"/>
        <v>1094.06901110783</v>
      </c>
      <c r="AY70" s="25">
        <f t="shared" si="54"/>
        <v>1.9621347828466795</v>
      </c>
      <c r="AZ70" s="188">
        <f t="shared" si="55"/>
        <v>0</v>
      </c>
    </row>
    <row r="71" spans="1:52" ht="16.5" thickTop="1" thickBot="1" x14ac:dyDescent="0.3">
      <c r="A71" s="259" t="s">
        <v>14</v>
      </c>
      <c r="B71" s="259"/>
      <c r="C71" s="119">
        <f>C31/IncidenceComplications!$G28</f>
        <v>0.99986328597419261</v>
      </c>
      <c r="D71" s="120">
        <f>D31/IncidenceComplications!$G28</f>
        <v>0.84025491907581318</v>
      </c>
      <c r="E71" s="81">
        <f t="shared" si="12"/>
        <v>107489</v>
      </c>
      <c r="F71" s="83">
        <f t="shared" si="13"/>
        <v>1.1304041476932141</v>
      </c>
      <c r="G71" s="83">
        <f t="shared" si="14"/>
        <v>4.0582483513879479</v>
      </c>
      <c r="H71" s="184">
        <f t="shared" si="56"/>
        <v>281295.47297762253</v>
      </c>
      <c r="I71" s="83">
        <f t="shared" si="57"/>
        <v>139.26529857332869</v>
      </c>
      <c r="J71" s="184">
        <f t="shared" si="58"/>
        <v>86649.042682672691</v>
      </c>
      <c r="K71" s="123">
        <f t="shared" si="59"/>
        <v>1.9599913628551568</v>
      </c>
      <c r="L71" s="147">
        <f t="shared" si="15"/>
        <v>0</v>
      </c>
      <c r="M71" s="84">
        <f t="shared" si="16"/>
        <v>5129932.4402943961</v>
      </c>
      <c r="N71" s="85">
        <f t="shared" si="17"/>
        <v>53.948747387125707</v>
      </c>
      <c r="O71" s="85">
        <f t="shared" si="18"/>
        <v>547.89091272713711</v>
      </c>
      <c r="P71" s="184">
        <f t="shared" si="19"/>
        <v>36834008.182944544</v>
      </c>
      <c r="Q71" s="83">
        <f t="shared" si="20"/>
        <v>571.09716048984285</v>
      </c>
      <c r="R71" s="184">
        <f t="shared" si="21"/>
        <v>86179.948114672356</v>
      </c>
      <c r="S71" s="123">
        <f t="shared" si="22"/>
        <v>1.9599915121724769</v>
      </c>
      <c r="T71" s="147">
        <f t="shared" si="23"/>
        <v>0</v>
      </c>
      <c r="U71" s="81">
        <f t="shared" si="24"/>
        <v>11868</v>
      </c>
      <c r="V71" s="83">
        <f t="shared" si="25"/>
        <v>1.836583101207057</v>
      </c>
      <c r="W71" s="83">
        <f t="shared" si="26"/>
        <v>4.4172610295886097</v>
      </c>
      <c r="X71" s="184">
        <f t="shared" si="27"/>
        <v>21815.291569060373</v>
      </c>
      <c r="Y71" s="83">
        <f t="shared" si="28"/>
        <v>57.6417898144202</v>
      </c>
      <c r="Z71" s="184">
        <f t="shared" si="29"/>
        <v>6140.4480975618208</v>
      </c>
      <c r="AA71" s="123">
        <f t="shared" si="30"/>
        <v>1.9603504228118007</v>
      </c>
      <c r="AB71" s="147">
        <f t="shared" si="31"/>
        <v>0</v>
      </c>
      <c r="AC71" s="84">
        <f t="shared" si="32"/>
        <v>652262.67599204136</v>
      </c>
      <c r="AD71" s="85">
        <f t="shared" si="33"/>
        <v>100.93820426989191</v>
      </c>
      <c r="AE71" s="85">
        <f t="shared" si="34"/>
        <v>601.84590297144587</v>
      </c>
      <c r="AF71" s="184">
        <f t="shared" si="35"/>
        <v>3369309.5166100138</v>
      </c>
      <c r="AG71" s="83">
        <f t="shared" si="36"/>
        <v>277.11456984616842</v>
      </c>
      <c r="AH71" s="184">
        <f t="shared" si="37"/>
        <v>6261.301770542771</v>
      </c>
      <c r="AI71" s="123">
        <f t="shared" si="38"/>
        <v>1.9603429530916836</v>
      </c>
      <c r="AJ71" s="147">
        <f t="shared" si="39"/>
        <v>0</v>
      </c>
      <c r="AK71" s="81">
        <f t="shared" si="40"/>
        <v>8639</v>
      </c>
      <c r="AL71" s="83">
        <f t="shared" si="41"/>
        <v>1.7878725165562916</v>
      </c>
      <c r="AM71" s="83">
        <f t="shared" si="42"/>
        <v>4.3569352202547442</v>
      </c>
      <c r="AN71" s="184">
        <f t="shared" si="43"/>
        <v>16020.949610679052</v>
      </c>
      <c r="AO71" s="83">
        <f t="shared" si="44"/>
        <v>48.567550699670129</v>
      </c>
      <c r="AP71" s="184">
        <f t="shared" si="45"/>
        <v>4535.477270901175</v>
      </c>
      <c r="AQ71" s="123">
        <f t="shared" si="46"/>
        <v>1.9604872246141611</v>
      </c>
      <c r="AR71" s="147">
        <f t="shared" si="47"/>
        <v>0</v>
      </c>
      <c r="AS71" s="84">
        <f t="shared" si="48"/>
        <v>429116.58448067517</v>
      </c>
      <c r="AT71" s="85">
        <f t="shared" si="49"/>
        <v>88.807240165702638</v>
      </c>
      <c r="AU71" s="85">
        <f t="shared" si="50"/>
        <v>704.6620513133297</v>
      </c>
      <c r="AV71" s="184">
        <f t="shared" si="51"/>
        <v>2476825.7792382976</v>
      </c>
      <c r="AW71" s="83">
        <f t="shared" si="52"/>
        <v>189.11332145555463</v>
      </c>
      <c r="AX71" s="184">
        <f t="shared" si="53"/>
        <v>4504.994919775173</v>
      </c>
      <c r="AY71" s="123">
        <f t="shared" si="54"/>
        <v>1.960490826907147</v>
      </c>
      <c r="AZ71" s="189">
        <f t="shared" si="55"/>
        <v>0</v>
      </c>
    </row>
    <row r="72" spans="1:52" x14ac:dyDescent="0.25">
      <c r="A72" s="273" t="s">
        <v>35</v>
      </c>
      <c r="B72" s="5" t="s">
        <v>0</v>
      </c>
      <c r="C72" s="121">
        <f>C32/IncidenceComplications!$G29</f>
        <v>0.99940933254577669</v>
      </c>
      <c r="D72" s="116">
        <f>D32/IncidenceComplications!$G29</f>
        <v>0.94565859421145892</v>
      </c>
      <c r="E72" s="3">
        <f t="shared" si="12"/>
        <v>1660</v>
      </c>
      <c r="F72" s="37">
        <f t="shared" si="13"/>
        <v>0.98050797401063194</v>
      </c>
      <c r="G72" s="37">
        <f t="shared" si="14"/>
        <v>2.8744986299187376</v>
      </c>
      <c r="H72" s="146">
        <f t="shared" si="56"/>
        <v>3605.0642971872617</v>
      </c>
      <c r="I72" s="37">
        <f t="shared" si="57"/>
        <v>19.751372187136656</v>
      </c>
      <c r="J72" s="146">
        <f t="shared" si="58"/>
        <v>1647.5275262177342</v>
      </c>
      <c r="K72" s="124">
        <f t="shared" si="59"/>
        <v>1.9614053845970953</v>
      </c>
      <c r="L72" s="148">
        <f t="shared" si="15"/>
        <v>4.2063980316846196E-78</v>
      </c>
      <c r="M72" s="54">
        <f t="shared" si="16"/>
        <v>81238.627063030435</v>
      </c>
      <c r="N72" s="49">
        <f t="shared" si="17"/>
        <v>47.985013031914008</v>
      </c>
      <c r="O72" s="49">
        <f t="shared" si="18"/>
        <v>298.03759497927717</v>
      </c>
      <c r="P72" s="146">
        <f t="shared" si="19"/>
        <v>392632.45441033208</v>
      </c>
      <c r="Q72" s="37">
        <f t="shared" si="20"/>
        <v>95.220988457999709</v>
      </c>
      <c r="R72" s="146">
        <f t="shared" si="21"/>
        <v>1652.7778246116852</v>
      </c>
      <c r="S72" s="124">
        <f t="shared" si="22"/>
        <v>1.96140101886302</v>
      </c>
      <c r="T72" s="148">
        <f t="shared" si="23"/>
        <v>0</v>
      </c>
      <c r="U72" s="3">
        <f t="shared" si="24"/>
        <v>793</v>
      </c>
      <c r="V72" s="37">
        <f t="shared" si="25"/>
        <v>1.6283367556468171</v>
      </c>
      <c r="W72" s="37">
        <f t="shared" si="26"/>
        <v>3.1063261253135441</v>
      </c>
      <c r="X72" s="146">
        <f t="shared" si="27"/>
        <v>1157.5767835628158</v>
      </c>
      <c r="Y72" s="37">
        <f t="shared" si="28"/>
        <v>17.037429269387065</v>
      </c>
      <c r="Z72" s="146">
        <f t="shared" si="29"/>
        <v>478.68316424147952</v>
      </c>
      <c r="AA72" s="124">
        <f t="shared" si="30"/>
        <v>1.9649392716526213</v>
      </c>
      <c r="AB72" s="148">
        <f t="shared" si="31"/>
        <v>3.2869028751450332E-51</v>
      </c>
      <c r="AC72" s="54">
        <f t="shared" si="32"/>
        <v>42613.124170870185</v>
      </c>
      <c r="AD72" s="49">
        <f t="shared" si="33"/>
        <v>87.5012816650312</v>
      </c>
      <c r="AE72" s="49">
        <f t="shared" si="34"/>
        <v>396.5557481128036</v>
      </c>
      <c r="AF72" s="146">
        <f t="shared" si="35"/>
        <v>153061.43938461874</v>
      </c>
      <c r="AG72" s="37">
        <f t="shared" si="36"/>
        <v>81.257475290727399</v>
      </c>
      <c r="AH72" s="146">
        <f t="shared" si="37"/>
        <v>479.42151221964303</v>
      </c>
      <c r="AI72" s="124">
        <f t="shared" si="38"/>
        <v>1.9649288589987035</v>
      </c>
      <c r="AJ72" s="148">
        <f t="shared" si="39"/>
        <v>2.5584150550770181E-282</v>
      </c>
      <c r="AK72" s="3">
        <f t="shared" si="40"/>
        <v>326</v>
      </c>
      <c r="AL72" s="37">
        <f t="shared" si="41"/>
        <v>1.530516431924883</v>
      </c>
      <c r="AM72" s="37">
        <f t="shared" si="42"/>
        <v>3.0841193974835535</v>
      </c>
      <c r="AN72" s="146">
        <f t="shared" si="43"/>
        <v>520.20855900674951</v>
      </c>
      <c r="AO72" s="37">
        <f t="shared" si="44"/>
        <v>10.644051802545746</v>
      </c>
      <c r="AP72" s="146">
        <f t="shared" si="45"/>
        <v>208.34762361611203</v>
      </c>
      <c r="AQ72" s="124">
        <f t="shared" si="46"/>
        <v>1.9714346585202402</v>
      </c>
      <c r="AR72" s="148">
        <f t="shared" si="47"/>
        <v>2.1157791121586977E-21</v>
      </c>
      <c r="AS72" s="54">
        <f t="shared" si="48"/>
        <v>17938.7432636175</v>
      </c>
      <c r="AT72" s="49">
        <f t="shared" si="49"/>
        <v>84.219451941866197</v>
      </c>
      <c r="AU72" s="49">
        <f t="shared" si="50"/>
        <v>382.99082681400023</v>
      </c>
      <c r="AV72" s="146">
        <f t="shared" si="51"/>
        <v>76486.116602933238</v>
      </c>
      <c r="AW72" s="37">
        <f t="shared" si="52"/>
        <v>55.344866393049678</v>
      </c>
      <c r="AX72" s="146">
        <f t="shared" si="53"/>
        <v>210.21504979587479</v>
      </c>
      <c r="AY72" s="124">
        <f t="shared" si="54"/>
        <v>1.9713247932433295</v>
      </c>
      <c r="AZ72" s="186">
        <f t="shared" si="55"/>
        <v>3.2923960791613533E-127</v>
      </c>
    </row>
    <row r="73" spans="1:52" x14ac:dyDescent="0.25">
      <c r="A73" s="261"/>
      <c r="B73" s="5" t="s">
        <v>1</v>
      </c>
      <c r="C73" s="121">
        <f>C33/IncidenceComplications!$G30</f>
        <v>1</v>
      </c>
      <c r="D73" s="116">
        <f>D33/IncidenceComplications!$G30</f>
        <v>0.94623655913978499</v>
      </c>
      <c r="E73" s="3">
        <f t="shared" si="12"/>
        <v>5135</v>
      </c>
      <c r="F73" s="37">
        <f t="shared" si="13"/>
        <v>0.81198608475648326</v>
      </c>
      <c r="G73" s="37">
        <f t="shared" si="14"/>
        <v>3.0905524684014707</v>
      </c>
      <c r="H73" s="146">
        <f t="shared" si="56"/>
        <v>14320.591026333019</v>
      </c>
      <c r="I73" s="37">
        <f t="shared" si="57"/>
        <v>30.48293197453587</v>
      </c>
      <c r="J73" s="146">
        <f t="shared" si="58"/>
        <v>6156.1932838913099</v>
      </c>
      <c r="K73" s="124">
        <f t="shared" si="59"/>
        <v>1.9603494182296686</v>
      </c>
      <c r="L73" s="148">
        <f t="shared" si="15"/>
        <v>3.3382615279498058E-190</v>
      </c>
      <c r="M73" s="54">
        <f t="shared" si="16"/>
        <v>292391.26388834394</v>
      </c>
      <c r="N73" s="49">
        <f t="shared" si="17"/>
        <v>46.235177717954457</v>
      </c>
      <c r="O73" s="49">
        <f t="shared" si="18"/>
        <v>391.38377921509721</v>
      </c>
      <c r="P73" s="146">
        <f t="shared" si="19"/>
        <v>2091001.9408708028</v>
      </c>
      <c r="Q73" s="37">
        <f t="shared" si="20"/>
        <v>156.50361210886757</v>
      </c>
      <c r="R73" s="146">
        <f t="shared" si="21"/>
        <v>6217.8590455860694</v>
      </c>
      <c r="S73" s="124">
        <f t="shared" si="22"/>
        <v>1.9603456357052151</v>
      </c>
      <c r="T73" s="148">
        <f t="shared" si="23"/>
        <v>0</v>
      </c>
      <c r="U73" s="3">
        <f t="shared" si="24"/>
        <v>3033</v>
      </c>
      <c r="V73" s="37">
        <f t="shared" si="25"/>
        <v>1.4293119698397736</v>
      </c>
      <c r="W73" s="37">
        <f t="shared" si="26"/>
        <v>3.3728304514001377</v>
      </c>
      <c r="X73" s="146">
        <f t="shared" si="27"/>
        <v>5462.9495532880237</v>
      </c>
      <c r="Y73" s="37">
        <f t="shared" si="28"/>
        <v>29.866453652885014</v>
      </c>
      <c r="Z73" s="146">
        <f t="shared" si="29"/>
        <v>2077.3927946256485</v>
      </c>
      <c r="AA73" s="124">
        <f t="shared" si="30"/>
        <v>1.9611068014651583</v>
      </c>
      <c r="AB73" s="148">
        <f t="shared" si="31"/>
        <v>2.265426795358327E-163</v>
      </c>
      <c r="AC73" s="54">
        <f t="shared" si="32"/>
        <v>159825.17316215771</v>
      </c>
      <c r="AD73" s="49">
        <f t="shared" si="33"/>
        <v>75.318177738999879</v>
      </c>
      <c r="AE73" s="49">
        <f t="shared" si="34"/>
        <v>332.49692525005594</v>
      </c>
      <c r="AF73" s="146">
        <f t="shared" si="35"/>
        <v>507347.82404720876</v>
      </c>
      <c r="AG73" s="37">
        <f t="shared" si="36"/>
        <v>158.12274218873208</v>
      </c>
      <c r="AH73" s="146">
        <f t="shared" si="37"/>
        <v>2070.8501654298238</v>
      </c>
      <c r="AI73" s="124">
        <f t="shared" si="38"/>
        <v>1.9611106682853581</v>
      </c>
      <c r="AJ73" s="148">
        <f t="shared" si="39"/>
        <v>0</v>
      </c>
      <c r="AK73" s="3">
        <f t="shared" si="40"/>
        <v>933</v>
      </c>
      <c r="AL73" s="37">
        <f t="shared" si="41"/>
        <v>1.2851239669421486</v>
      </c>
      <c r="AM73" s="37">
        <f t="shared" si="42"/>
        <v>3.4991285618121268</v>
      </c>
      <c r="AN73" s="146">
        <f t="shared" si="43"/>
        <v>1970.7512698461219</v>
      </c>
      <c r="AO73" s="37">
        <f t="shared" si="44"/>
        <v>15.474501627825296</v>
      </c>
      <c r="AP73" s="146">
        <f t="shared" si="45"/>
        <v>713.78230103008491</v>
      </c>
      <c r="AQ73" s="124">
        <f t="shared" si="46"/>
        <v>1.9632967122901408</v>
      </c>
      <c r="AR73" s="148">
        <f t="shared" si="47"/>
        <v>8.7252819262742786E-47</v>
      </c>
      <c r="AS73" s="54">
        <f t="shared" si="48"/>
        <v>49828.384460798668</v>
      </c>
      <c r="AT73" s="49">
        <f t="shared" si="49"/>
        <v>68.634138375755725</v>
      </c>
      <c r="AU73" s="49">
        <f t="shared" si="50"/>
        <v>305.6461889496037</v>
      </c>
      <c r="AV73" s="146">
        <f t="shared" si="51"/>
        <v>188889.51979625912</v>
      </c>
      <c r="AW73" s="37">
        <f t="shared" si="52"/>
        <v>89.536359652879995</v>
      </c>
      <c r="AX73" s="146">
        <f t="shared" si="53"/>
        <v>717.18789531663094</v>
      </c>
      <c r="AY73" s="124">
        <f t="shared" si="54"/>
        <v>1.9632780887875303</v>
      </c>
      <c r="AZ73" s="186">
        <f t="shared" si="55"/>
        <v>0</v>
      </c>
    </row>
    <row r="74" spans="1:52" x14ac:dyDescent="0.25">
      <c r="A74" s="261"/>
      <c r="B74" s="5" t="s">
        <v>2</v>
      </c>
      <c r="C74" s="121">
        <f>C34/IncidenceComplications!$G31</f>
        <v>0.99979423868312756</v>
      </c>
      <c r="D74" s="116">
        <f>D34/IncidenceComplications!$G31</f>
        <v>0.8598765432098765</v>
      </c>
      <c r="E74" s="3">
        <f t="shared" si="12"/>
        <v>4395</v>
      </c>
      <c r="F74" s="37">
        <f t="shared" si="13"/>
        <v>0.90432098765432123</v>
      </c>
      <c r="G74" s="37">
        <f t="shared" si="14"/>
        <v>3.067045567838246</v>
      </c>
      <c r="H74" s="146">
        <f t="shared" si="56"/>
        <v>10660.027910108744</v>
      </c>
      <c r="I74" s="37">
        <f t="shared" si="57"/>
        <v>29.120648209023159</v>
      </c>
      <c r="J74" s="146">
        <f t="shared" si="58"/>
        <v>4474.977134554425</v>
      </c>
      <c r="K74" s="124">
        <f t="shared" si="59"/>
        <v>1.9604943605402991</v>
      </c>
      <c r="L74" s="148">
        <f t="shared" si="15"/>
        <v>7.0810557232231147E-171</v>
      </c>
      <c r="M74" s="54">
        <f t="shared" si="16"/>
        <v>179577.93132095702</v>
      </c>
      <c r="N74" s="49">
        <f t="shared" si="17"/>
        <v>36.950191629826548</v>
      </c>
      <c r="O74" s="49">
        <f t="shared" si="18"/>
        <v>400.85343673184093</v>
      </c>
      <c r="P74" s="146">
        <f t="shared" si="19"/>
        <v>1445655.7266696261</v>
      </c>
      <c r="Q74" s="37">
        <f t="shared" si="20"/>
        <v>104.29800063562247</v>
      </c>
      <c r="R74" s="146">
        <f t="shared" si="21"/>
        <v>4501.5646048722538</v>
      </c>
      <c r="S74" s="124">
        <f t="shared" si="22"/>
        <v>1.9604911781500192</v>
      </c>
      <c r="T74" s="148">
        <f t="shared" si="23"/>
        <v>0</v>
      </c>
      <c r="U74" s="3">
        <f t="shared" si="24"/>
        <v>1379</v>
      </c>
      <c r="V74" s="37">
        <f t="shared" si="25"/>
        <v>1.7724935732647817</v>
      </c>
      <c r="W74" s="37">
        <f t="shared" si="26"/>
        <v>3.2771964542650993</v>
      </c>
      <c r="X74" s="146">
        <f t="shared" si="27"/>
        <v>1913.755831824325</v>
      </c>
      <c r="Y74" s="37">
        <f t="shared" si="28"/>
        <v>22.267449746867168</v>
      </c>
      <c r="Z74" s="146">
        <f t="shared" si="29"/>
        <v>728.875955218434</v>
      </c>
      <c r="AA74" s="124">
        <f t="shared" si="30"/>
        <v>1.9632279311272263</v>
      </c>
      <c r="AB74" s="148">
        <f t="shared" si="31"/>
        <v>3.5496675561689228E-84</v>
      </c>
      <c r="AC74" s="54">
        <f t="shared" si="32"/>
        <v>51452.394659495592</v>
      </c>
      <c r="AD74" s="49">
        <f t="shared" si="33"/>
        <v>66.134183366960912</v>
      </c>
      <c r="AE74" s="49">
        <f t="shared" si="34"/>
        <v>532.58261719518066</v>
      </c>
      <c r="AF74" s="146">
        <f t="shared" si="35"/>
        <v>332686.1527672119</v>
      </c>
      <c r="AG74" s="37">
        <f t="shared" si="36"/>
        <v>65.647329239890837</v>
      </c>
      <c r="AH74" s="146">
        <f t="shared" si="37"/>
        <v>737.00881731743664</v>
      </c>
      <c r="AI74" s="124">
        <f t="shared" si="38"/>
        <v>1.9631880084924056</v>
      </c>
      <c r="AJ74" s="148">
        <f t="shared" si="39"/>
        <v>0</v>
      </c>
      <c r="AK74" s="3">
        <f t="shared" si="40"/>
        <v>520</v>
      </c>
      <c r="AL74" s="37">
        <f t="shared" si="41"/>
        <v>1.6049382716049378</v>
      </c>
      <c r="AM74" s="37">
        <f t="shared" si="42"/>
        <v>3.2731260234921167</v>
      </c>
      <c r="AN74" s="146">
        <f t="shared" si="43"/>
        <v>854.16149321859575</v>
      </c>
      <c r="AO74" s="37">
        <f t="shared" si="44"/>
        <v>13.133033545645386</v>
      </c>
      <c r="AP74" s="146">
        <f t="shared" si="45"/>
        <v>307.04942343114288</v>
      </c>
      <c r="AQ74" s="124">
        <f t="shared" si="46"/>
        <v>1.9677212881554853</v>
      </c>
      <c r="AR74" s="148">
        <f t="shared" si="47"/>
        <v>1.4305901187760989E-31</v>
      </c>
      <c r="AS74" s="54">
        <f t="shared" si="48"/>
        <v>18016.691210297999</v>
      </c>
      <c r="AT74" s="49">
        <f t="shared" si="49"/>
        <v>55.607071636722225</v>
      </c>
      <c r="AU74" s="49">
        <f t="shared" si="50"/>
        <v>352.93028241444091</v>
      </c>
      <c r="AV74" s="146">
        <f t="shared" si="51"/>
        <v>62877.356513495244</v>
      </c>
      <c r="AW74" s="37">
        <f t="shared" si="52"/>
        <v>43.508971542794882</v>
      </c>
      <c r="AX74" s="146">
        <f t="shared" si="53"/>
        <v>293.80973991916119</v>
      </c>
      <c r="AY74" s="124">
        <f t="shared" si="54"/>
        <v>1.9680934526838199</v>
      </c>
      <c r="AZ74" s="186">
        <f t="shared" si="55"/>
        <v>6.8489653239746848E-130</v>
      </c>
    </row>
    <row r="75" spans="1:52" x14ac:dyDescent="0.25">
      <c r="A75" s="261"/>
      <c r="B75" s="5" t="s">
        <v>3</v>
      </c>
      <c r="C75" s="121">
        <f>C35/IncidenceComplications!$G32</f>
        <v>0.99976204640095179</v>
      </c>
      <c r="D75" s="116">
        <f>D35/IncidenceComplications!$G32</f>
        <v>0.80535395597858417</v>
      </c>
      <c r="E75" s="3">
        <f t="shared" si="12"/>
        <v>9669</v>
      </c>
      <c r="F75" s="37">
        <f t="shared" si="13"/>
        <v>1.1503866745984537</v>
      </c>
      <c r="G75" s="37">
        <f t="shared" si="14"/>
        <v>3.5241344764141753</v>
      </c>
      <c r="H75" s="146">
        <f t="shared" si="56"/>
        <v>21804.610756956929</v>
      </c>
      <c r="I75" s="37">
        <f t="shared" si="57"/>
        <v>44.74236430096861</v>
      </c>
      <c r="J75" s="146">
        <f t="shared" si="58"/>
        <v>7478.1097026426687</v>
      </c>
      <c r="K75" s="124">
        <f t="shared" si="59"/>
        <v>1.9602812684014173</v>
      </c>
      <c r="L75" s="148">
        <f t="shared" si="15"/>
        <v>0</v>
      </c>
      <c r="M75" s="54">
        <f t="shared" si="16"/>
        <v>467480.60507651488</v>
      </c>
      <c r="N75" s="49">
        <f t="shared" si="17"/>
        <v>55.6193462315901</v>
      </c>
      <c r="O75" s="49">
        <f t="shared" si="18"/>
        <v>447.34462384973381</v>
      </c>
      <c r="P75" s="146">
        <f t="shared" si="19"/>
        <v>2946713.9975895071</v>
      </c>
      <c r="Q75" s="37">
        <f t="shared" si="20"/>
        <v>193.33402970840436</v>
      </c>
      <c r="R75" s="146">
        <f t="shared" si="21"/>
        <v>7598.9582980474097</v>
      </c>
      <c r="S75" s="124">
        <f t="shared" si="22"/>
        <v>1.9602762565527945</v>
      </c>
      <c r="T75" s="148">
        <f t="shared" si="23"/>
        <v>0</v>
      </c>
      <c r="U75" s="3">
        <f t="shared" si="24"/>
        <v>1167</v>
      </c>
      <c r="V75" s="37">
        <f t="shared" si="25"/>
        <v>1.9162561576354684</v>
      </c>
      <c r="W75" s="37">
        <f t="shared" si="26"/>
        <v>3.762335824149575</v>
      </c>
      <c r="X75" s="146">
        <f t="shared" si="27"/>
        <v>1661.6380075799091</v>
      </c>
      <c r="Y75" s="37">
        <f t="shared" si="28"/>
        <v>19.486395573021944</v>
      </c>
      <c r="Z75" s="146">
        <f t="shared" si="29"/>
        <v>545.05297493679279</v>
      </c>
      <c r="AA75" s="124">
        <f t="shared" si="30"/>
        <v>1.9643262941574762</v>
      </c>
      <c r="AB75" s="148">
        <f t="shared" si="31"/>
        <v>1.4321452540888473E-64</v>
      </c>
      <c r="AC75" s="54">
        <f t="shared" si="32"/>
        <v>55084.484497597587</v>
      </c>
      <c r="AD75" s="49">
        <f t="shared" si="33"/>
        <v>90.450713460751359</v>
      </c>
      <c r="AE75" s="49">
        <f t="shared" si="34"/>
        <v>438.34712173248215</v>
      </c>
      <c r="AF75" s="146">
        <f t="shared" si="35"/>
        <v>202515.46402522549</v>
      </c>
      <c r="AG75" s="37">
        <f t="shared" si="36"/>
        <v>85.538608329024285</v>
      </c>
      <c r="AH75" s="146">
        <f t="shared" si="37"/>
        <v>550.53494871935538</v>
      </c>
      <c r="AI75" s="124">
        <f t="shared" si="38"/>
        <v>1.9642865509120895</v>
      </c>
      <c r="AJ75" s="148">
        <f t="shared" si="39"/>
        <v>0</v>
      </c>
      <c r="AK75" s="3">
        <f t="shared" si="40"/>
        <v>654</v>
      </c>
      <c r="AL75" s="37">
        <f t="shared" si="41"/>
        <v>1.6987012987012982</v>
      </c>
      <c r="AM75" s="37">
        <f t="shared" si="42"/>
        <v>3.9134866054450814</v>
      </c>
      <c r="AN75" s="146">
        <f t="shared" si="43"/>
        <v>1119.9103319813009</v>
      </c>
      <c r="AO75" s="37">
        <f t="shared" si="44"/>
        <v>13.498723401191645</v>
      </c>
      <c r="AP75" s="146">
        <f t="shared" si="45"/>
        <v>346.43867523326281</v>
      </c>
      <c r="AQ75" s="124">
        <f t="shared" si="46"/>
        <v>1.9668438982060858</v>
      </c>
      <c r="AR75" s="148">
        <f t="shared" si="47"/>
        <v>1.1876694997258581E-33</v>
      </c>
      <c r="AS75" s="54">
        <f t="shared" si="48"/>
        <v>34082.831131529907</v>
      </c>
      <c r="AT75" s="49">
        <f t="shared" si="49"/>
        <v>88.526834107869888</v>
      </c>
      <c r="AU75" s="49">
        <f t="shared" si="50"/>
        <v>409.91365144307309</v>
      </c>
      <c r="AV75" s="146">
        <f t="shared" si="51"/>
        <v>118182.37681944945</v>
      </c>
      <c r="AW75" s="37">
        <f t="shared" si="52"/>
        <v>68.781994824499037</v>
      </c>
      <c r="AX75" s="146">
        <f t="shared" si="53"/>
        <v>347.0192476551785</v>
      </c>
      <c r="AY75" s="124">
        <f t="shared" si="54"/>
        <v>1.9668240032621538</v>
      </c>
      <c r="AZ75" s="186">
        <f t="shared" si="55"/>
        <v>2.8626881638123593E-204</v>
      </c>
    </row>
    <row r="76" spans="1:52" x14ac:dyDescent="0.25">
      <c r="A76" s="261"/>
      <c r="B76" s="5" t="s">
        <v>4</v>
      </c>
      <c r="C76" s="121">
        <f>C36/IncidenceComplications!$G33</f>
        <v>0.99988028253322159</v>
      </c>
      <c r="D76" s="116">
        <f>D36/IncidenceComplications!$G33</f>
        <v>0.79895446745680199</v>
      </c>
      <c r="E76" s="3">
        <f t="shared" si="12"/>
        <v>31366</v>
      </c>
      <c r="F76" s="37">
        <f t="shared" si="13"/>
        <v>1.251686020990463</v>
      </c>
      <c r="G76" s="37">
        <f t="shared" si="14"/>
        <v>4.4024497381019829</v>
      </c>
      <c r="H76" s="146">
        <f t="shared" si="56"/>
        <v>79794.684983068757</v>
      </c>
      <c r="I76" s="37">
        <f t="shared" si="57"/>
        <v>74.946662111670832</v>
      </c>
      <c r="J76" s="146">
        <f t="shared" si="58"/>
        <v>22094.812102837575</v>
      </c>
      <c r="K76" s="124">
        <f t="shared" si="59"/>
        <v>1.9600713620614096</v>
      </c>
      <c r="L76" s="148">
        <f t="shared" si="15"/>
        <v>0</v>
      </c>
      <c r="M76" s="54">
        <f t="shared" si="16"/>
        <v>1374657.4859759798</v>
      </c>
      <c r="N76" s="49">
        <f t="shared" si="17"/>
        <v>54.856837303004113</v>
      </c>
      <c r="O76" s="49">
        <f t="shared" si="18"/>
        <v>435.84620402036956</v>
      </c>
      <c r="P76" s="146">
        <f t="shared" si="19"/>
        <v>7763438.8239487093</v>
      </c>
      <c r="Q76" s="37">
        <f t="shared" si="20"/>
        <v>329.74418017813184</v>
      </c>
      <c r="R76" s="146">
        <f t="shared" si="21"/>
        <v>22007.960792396214</v>
      </c>
      <c r="S76" s="124">
        <f t="shared" si="22"/>
        <v>1.9600717865794972</v>
      </c>
      <c r="T76" s="148">
        <f t="shared" si="23"/>
        <v>0</v>
      </c>
      <c r="U76" s="3">
        <f t="shared" si="24"/>
        <v>1888</v>
      </c>
      <c r="V76" s="37">
        <f t="shared" si="25"/>
        <v>2.0588876772082876</v>
      </c>
      <c r="W76" s="37">
        <f t="shared" si="26"/>
        <v>4.9560274976166898</v>
      </c>
      <c r="X76" s="146">
        <f t="shared" si="27"/>
        <v>3453.2499379971296</v>
      </c>
      <c r="Y76" s="37">
        <f t="shared" si="28"/>
        <v>22.583247874756569</v>
      </c>
      <c r="Z76" s="146">
        <f t="shared" si="29"/>
        <v>838.80362764623464</v>
      </c>
      <c r="AA76" s="124">
        <f t="shared" si="30"/>
        <v>1.9627988807325552</v>
      </c>
      <c r="AB76" s="148">
        <f t="shared" si="31"/>
        <v>1.4098233239598389E-88</v>
      </c>
      <c r="AC76" s="54">
        <f t="shared" si="32"/>
        <v>91787.341615266807</v>
      </c>
      <c r="AD76" s="49">
        <f t="shared" si="33"/>
        <v>100.09524712679044</v>
      </c>
      <c r="AE76" s="49">
        <f t="shared" si="34"/>
        <v>500.11305389632429</v>
      </c>
      <c r="AF76" s="146">
        <f t="shared" si="35"/>
        <v>387221.08458881069</v>
      </c>
      <c r="AG76" s="37">
        <f t="shared" si="36"/>
        <v>111.21784514870095</v>
      </c>
      <c r="AH76" s="146">
        <f t="shared" si="37"/>
        <v>860.92887627425489</v>
      </c>
      <c r="AI76" s="124">
        <f t="shared" si="38"/>
        <v>1.9627262597303541</v>
      </c>
      <c r="AJ76" s="148">
        <f t="shared" si="39"/>
        <v>0</v>
      </c>
      <c r="AK76" s="3">
        <f t="shared" si="40"/>
        <v>1377</v>
      </c>
      <c r="AL76" s="37">
        <f t="shared" si="41"/>
        <v>2.0927051671732526</v>
      </c>
      <c r="AM76" s="37">
        <f t="shared" si="42"/>
        <v>4.7532448208321476</v>
      </c>
      <c r="AN76" s="146">
        <f t="shared" si="43"/>
        <v>2384.6817046028777</v>
      </c>
      <c r="AO76" s="37">
        <f t="shared" si="44"/>
        <v>19.650651971456927</v>
      </c>
      <c r="AP76" s="146">
        <f t="shared" si="45"/>
        <v>587.84941308518523</v>
      </c>
      <c r="AQ76" s="124">
        <f t="shared" si="46"/>
        <v>1.9640135365006357</v>
      </c>
      <c r="AR76" s="148">
        <f t="shared" si="47"/>
        <v>1.9133565635941381E-66</v>
      </c>
      <c r="AS76" s="54">
        <f t="shared" si="48"/>
        <v>53447.023696006523</v>
      </c>
      <c r="AT76" s="49">
        <f t="shared" si="49"/>
        <v>81.226479781164898</v>
      </c>
      <c r="AU76" s="49">
        <f t="shared" si="50"/>
        <v>437.44587847081561</v>
      </c>
      <c r="AV76" s="146">
        <f t="shared" si="51"/>
        <v>210090.68270144932</v>
      </c>
      <c r="AW76" s="37">
        <f t="shared" si="52"/>
        <v>79.174713227763917</v>
      </c>
      <c r="AX76" s="146">
        <f t="shared" si="53"/>
        <v>581.4458316389032</v>
      </c>
      <c r="AY76" s="124">
        <f t="shared" si="54"/>
        <v>1.964055442046041</v>
      </c>
      <c r="AZ76" s="186">
        <f t="shared" si="55"/>
        <v>0</v>
      </c>
    </row>
    <row r="77" spans="1:52" x14ac:dyDescent="0.25">
      <c r="A77" s="261"/>
      <c r="B77" s="5" t="s">
        <v>5</v>
      </c>
      <c r="C77" s="121">
        <f>C37/IncidenceComplications!$G34</f>
        <v>0.99994940679466748</v>
      </c>
      <c r="D77" s="116">
        <f>D37/IncidenceComplications!$G34</f>
        <v>0.82816017808808273</v>
      </c>
      <c r="E77" s="3">
        <f t="shared" si="12"/>
        <v>44927</v>
      </c>
      <c r="F77" s="37">
        <f t="shared" si="13"/>
        <v>1.1365004679871498</v>
      </c>
      <c r="G77" s="37">
        <f t="shared" si="14"/>
        <v>4.9492151952910284</v>
      </c>
      <c r="H77" s="146">
        <f t="shared" si="56"/>
        <v>140736.38603505466</v>
      </c>
      <c r="I77" s="37">
        <f t="shared" si="57"/>
        <v>81.369939084187394</v>
      </c>
      <c r="J77" s="146">
        <f t="shared" si="58"/>
        <v>35615.4740315991</v>
      </c>
      <c r="K77" s="124">
        <f t="shared" si="59"/>
        <v>1.9600305955302886</v>
      </c>
      <c r="L77" s="148">
        <f t="shared" si="15"/>
        <v>0</v>
      </c>
      <c r="M77" s="54">
        <f t="shared" si="16"/>
        <v>2128930.1791806892</v>
      </c>
      <c r="N77" s="49">
        <f t="shared" si="17"/>
        <v>53.854700846947679</v>
      </c>
      <c r="O77" s="49">
        <f t="shared" si="18"/>
        <v>647.89679742473095</v>
      </c>
      <c r="P77" s="146">
        <f t="shared" si="19"/>
        <v>16844863.581983857</v>
      </c>
      <c r="Q77" s="37">
        <f t="shared" si="20"/>
        <v>336.0172864515431</v>
      </c>
      <c r="R77" s="146">
        <f t="shared" si="21"/>
        <v>35069.014782735103</v>
      </c>
      <c r="S77" s="124">
        <f t="shared" si="22"/>
        <v>1.9600316326524234</v>
      </c>
      <c r="T77" s="148">
        <f t="shared" si="23"/>
        <v>0</v>
      </c>
      <c r="U77" s="3">
        <f t="shared" si="24"/>
        <v>2887</v>
      </c>
      <c r="V77" s="37">
        <f t="shared" si="25"/>
        <v>2.3761316872427982</v>
      </c>
      <c r="W77" s="37">
        <f t="shared" si="26"/>
        <v>5.5507031685262245</v>
      </c>
      <c r="X77" s="146">
        <f t="shared" si="27"/>
        <v>5156.9202132172386</v>
      </c>
      <c r="Y77" s="37">
        <f t="shared" si="28"/>
        <v>28.422029649949973</v>
      </c>
      <c r="Z77" s="146">
        <f t="shared" si="29"/>
        <v>1118.0177771661897</v>
      </c>
      <c r="AA77" s="124">
        <f t="shared" si="30"/>
        <v>1.9620881329054685</v>
      </c>
      <c r="AB77" s="148">
        <f t="shared" si="31"/>
        <v>3.512144911683565E-134</v>
      </c>
      <c r="AC77" s="54">
        <f t="shared" si="32"/>
        <v>184128.68544714648</v>
      </c>
      <c r="AD77" s="49">
        <f t="shared" si="33"/>
        <v>151.54624316637572</v>
      </c>
      <c r="AE77" s="49">
        <f t="shared" si="34"/>
        <v>658.01909695369272</v>
      </c>
      <c r="AF77" s="146">
        <f t="shared" si="35"/>
        <v>690512.33214575693</v>
      </c>
      <c r="AG77" s="37">
        <f t="shared" si="36"/>
        <v>170.32342704171765</v>
      </c>
      <c r="AH77" s="146">
        <f t="shared" si="37"/>
        <v>1151.889189731753</v>
      </c>
      <c r="AI77" s="124">
        <f t="shared" si="38"/>
        <v>1.9620271690533801</v>
      </c>
      <c r="AJ77" s="148">
        <f t="shared" si="39"/>
        <v>0</v>
      </c>
      <c r="AK77" s="3">
        <f t="shared" si="40"/>
        <v>3410</v>
      </c>
      <c r="AL77" s="37">
        <f t="shared" si="41"/>
        <v>1.9918224299065423</v>
      </c>
      <c r="AM77" s="37">
        <f t="shared" si="42"/>
        <v>5.3154840502842209</v>
      </c>
      <c r="AN77" s="146">
        <f t="shared" si="43"/>
        <v>6767.8028125058945</v>
      </c>
      <c r="AO77" s="37">
        <f t="shared" si="44"/>
        <v>28.773444320386115</v>
      </c>
      <c r="AP77" s="146">
        <f t="shared" si="45"/>
        <v>1560.4049621534587</v>
      </c>
      <c r="AQ77" s="124">
        <f t="shared" si="46"/>
        <v>1.9614858317034702</v>
      </c>
      <c r="AR77" s="148">
        <f t="shared" si="47"/>
        <v>2.0788812384035833E-146</v>
      </c>
      <c r="AS77" s="54">
        <f t="shared" si="48"/>
        <v>137310.85415765736</v>
      </c>
      <c r="AT77" s="49">
        <f t="shared" si="49"/>
        <v>80.20493817620175</v>
      </c>
      <c r="AU77" s="49">
        <f t="shared" si="50"/>
        <v>730.14345600699824</v>
      </c>
      <c r="AV77" s="146">
        <f t="shared" si="51"/>
        <v>718571.31207888783</v>
      </c>
      <c r="AW77" s="37">
        <f t="shared" si="52"/>
        <v>98.525895601332778</v>
      </c>
      <c r="AX77" s="146">
        <f t="shared" si="53"/>
        <v>1502.0789936506239</v>
      </c>
      <c r="AY77" s="124">
        <f t="shared" si="54"/>
        <v>1.9615446446758078</v>
      </c>
      <c r="AZ77" s="186">
        <f t="shared" si="55"/>
        <v>0</v>
      </c>
    </row>
    <row r="78" spans="1:52" x14ac:dyDescent="0.25">
      <c r="A78" s="261"/>
      <c r="B78" s="6" t="s">
        <v>6</v>
      </c>
      <c r="C78" s="122">
        <f>C38/IncidenceComplications!$G35</f>
        <v>0.99956601931214062</v>
      </c>
      <c r="D78" s="117">
        <f>D38/IncidenceComplications!$G35</f>
        <v>0.933817945101443</v>
      </c>
      <c r="E78" s="10">
        <f t="shared" si="12"/>
        <v>10337</v>
      </c>
      <c r="F78" s="39">
        <f t="shared" si="13"/>
        <v>1.1215145926006294</v>
      </c>
      <c r="G78" s="39">
        <f t="shared" si="14"/>
        <v>5.636383039555847</v>
      </c>
      <c r="H78" s="182">
        <f t="shared" si="56"/>
        <v>38247.537310877517</v>
      </c>
      <c r="I78" s="39">
        <f t="shared" si="57"/>
        <v>37.518652111534564</v>
      </c>
      <c r="J78" s="182">
        <f t="shared" si="58"/>
        <v>8914.2426997509556</v>
      </c>
      <c r="K78" s="24">
        <f t="shared" si="59"/>
        <v>1.9602301487642182</v>
      </c>
      <c r="L78" s="27">
        <f t="shared" si="15"/>
        <v>3.5743424112945416E-286</v>
      </c>
      <c r="M78" s="55">
        <f t="shared" si="16"/>
        <v>605656.34778887872</v>
      </c>
      <c r="N78" s="50">
        <f t="shared" si="17"/>
        <v>65.710789604955949</v>
      </c>
      <c r="O78" s="50">
        <f t="shared" si="18"/>
        <v>942.73571651334373</v>
      </c>
      <c r="P78" s="182">
        <f t="shared" si="19"/>
        <v>5813960.2319510598</v>
      </c>
      <c r="Q78" s="39">
        <f t="shared" si="20"/>
        <v>169.738890075043</v>
      </c>
      <c r="R78" s="182">
        <f t="shared" si="21"/>
        <v>8857.3465020977383</v>
      </c>
      <c r="S78" s="24">
        <f t="shared" si="22"/>
        <v>1.9602318619181498</v>
      </c>
      <c r="T78" s="27">
        <f t="shared" si="23"/>
        <v>0</v>
      </c>
      <c r="U78" s="10">
        <f t="shared" si="24"/>
        <v>721</v>
      </c>
      <c r="V78" s="39">
        <f t="shared" si="25"/>
        <v>2.158682634730539</v>
      </c>
      <c r="W78" s="39">
        <f t="shared" si="26"/>
        <v>5.9407420494590779</v>
      </c>
      <c r="X78" s="182">
        <f t="shared" si="27"/>
        <v>1554.6820050977415</v>
      </c>
      <c r="Y78" s="39">
        <f t="shared" si="28"/>
        <v>13.508705749969813</v>
      </c>
      <c r="Z78" s="182">
        <f t="shared" si="29"/>
        <v>326.482854332052</v>
      </c>
      <c r="AA78" s="24">
        <f t="shared" si="30"/>
        <v>1.9672675222597713</v>
      </c>
      <c r="AB78" s="27">
        <f t="shared" si="31"/>
        <v>2.490589459695969E-33</v>
      </c>
      <c r="AC78" s="55">
        <f t="shared" si="32"/>
        <v>67371.47243950679</v>
      </c>
      <c r="AD78" s="50">
        <f t="shared" si="33"/>
        <v>201.71099532786462</v>
      </c>
      <c r="AE78" s="50">
        <f t="shared" si="34"/>
        <v>1053.0071832137128</v>
      </c>
      <c r="AF78" s="182">
        <f t="shared" si="35"/>
        <v>324982.83923717332</v>
      </c>
      <c r="AG78" s="39">
        <f t="shared" si="36"/>
        <v>98.798401959892502</v>
      </c>
      <c r="AH78" s="182">
        <f t="shared" si="37"/>
        <v>330.52830133617323</v>
      </c>
      <c r="AI78" s="24">
        <f t="shared" si="38"/>
        <v>1.9671786747533757</v>
      </c>
      <c r="AJ78" s="27">
        <f t="shared" si="39"/>
        <v>3.5834686171955898E-247</v>
      </c>
      <c r="AK78" s="10">
        <f t="shared" si="40"/>
        <v>1419</v>
      </c>
      <c r="AL78" s="39">
        <f t="shared" si="41"/>
        <v>1.7432432432432439</v>
      </c>
      <c r="AM78" s="39">
        <f t="shared" si="42"/>
        <v>5.8521842120867262</v>
      </c>
      <c r="AN78" s="182">
        <f t="shared" si="43"/>
        <v>3570.7674348637438</v>
      </c>
      <c r="AO78" s="39">
        <f t="shared" si="44"/>
        <v>17.037515378174767</v>
      </c>
      <c r="AP78" s="182">
        <f t="shared" si="45"/>
        <v>788.69336079178618</v>
      </c>
      <c r="AQ78" s="24">
        <f t="shared" si="46"/>
        <v>1.962979031749001</v>
      </c>
      <c r="AR78" s="27">
        <f t="shared" si="47"/>
        <v>1.1819644835163655E-55</v>
      </c>
      <c r="AS78" s="55">
        <f t="shared" si="48"/>
        <v>118492.056560767</v>
      </c>
      <c r="AT78" s="50">
        <f t="shared" si="49"/>
        <v>145.56763705253928</v>
      </c>
      <c r="AU78" s="50">
        <f t="shared" si="50"/>
        <v>1489.5238604531321</v>
      </c>
      <c r="AV78" s="182">
        <f t="shared" si="51"/>
        <v>900765.65968570928</v>
      </c>
      <c r="AW78" s="39">
        <f t="shared" si="52"/>
        <v>89.134986278799119</v>
      </c>
      <c r="AX78" s="182">
        <f t="shared" si="53"/>
        <v>788.20687500606039</v>
      </c>
      <c r="AY78" s="24">
        <f t="shared" si="54"/>
        <v>1.962979031749001</v>
      </c>
      <c r="AZ78" s="187">
        <f t="shared" si="55"/>
        <v>0</v>
      </c>
    </row>
    <row r="79" spans="1:52" ht="15.75" thickBot="1" x14ac:dyDescent="0.3">
      <c r="A79" s="262"/>
      <c r="B79" s="15" t="s">
        <v>14</v>
      </c>
      <c r="C79" s="185">
        <f>C39/IncidenceComplications!$G36</f>
        <v>0.99986328597419261</v>
      </c>
      <c r="D79" s="118">
        <f>D39/IncidenceComplications!$G36</f>
        <v>0.84025491907581318</v>
      </c>
      <c r="E79" s="16">
        <f t="shared" si="12"/>
        <v>107489</v>
      </c>
      <c r="F79" s="40">
        <f t="shared" si="13"/>
        <v>1.1304041476932141</v>
      </c>
      <c r="G79" s="40">
        <f t="shared" si="14"/>
        <v>4.0582483513879488</v>
      </c>
      <c r="H79" s="183">
        <f t="shared" si="56"/>
        <v>281295.47297762253</v>
      </c>
      <c r="I79" s="40">
        <f t="shared" si="57"/>
        <v>139.26529857332869</v>
      </c>
      <c r="J79" s="183">
        <f t="shared" si="58"/>
        <v>86649.042682672691</v>
      </c>
      <c r="K79" s="25">
        <f t="shared" si="59"/>
        <v>1.9599913628551568</v>
      </c>
      <c r="L79" s="28">
        <f t="shared" si="15"/>
        <v>0</v>
      </c>
      <c r="M79" s="74">
        <f t="shared" si="16"/>
        <v>5129932.4402943961</v>
      </c>
      <c r="N79" s="77">
        <f t="shared" si="17"/>
        <v>53.948747387125707</v>
      </c>
      <c r="O79" s="57">
        <f t="shared" si="18"/>
        <v>547.89091272713711</v>
      </c>
      <c r="P79" s="183">
        <f t="shared" si="19"/>
        <v>36834008.182944544</v>
      </c>
      <c r="Q79" s="40">
        <f t="shared" si="20"/>
        <v>571.09716048984285</v>
      </c>
      <c r="R79" s="183">
        <f t="shared" si="21"/>
        <v>86179.948114672356</v>
      </c>
      <c r="S79" s="25">
        <f t="shared" si="22"/>
        <v>1.9599915121724769</v>
      </c>
      <c r="T79" s="28">
        <f t="shared" si="23"/>
        <v>0</v>
      </c>
      <c r="U79" s="16">
        <f t="shared" si="24"/>
        <v>11868</v>
      </c>
      <c r="V79" s="40">
        <f t="shared" si="25"/>
        <v>1.836583101207057</v>
      </c>
      <c r="W79" s="40">
        <f t="shared" si="26"/>
        <v>4.4172610295886097</v>
      </c>
      <c r="X79" s="183">
        <f t="shared" si="27"/>
        <v>21815.291569060373</v>
      </c>
      <c r="Y79" s="40">
        <f t="shared" si="28"/>
        <v>57.6417898144202</v>
      </c>
      <c r="Z79" s="183">
        <f t="shared" si="29"/>
        <v>6140.4480975618208</v>
      </c>
      <c r="AA79" s="25">
        <f t="shared" si="30"/>
        <v>1.9603504228118007</v>
      </c>
      <c r="AB79" s="28">
        <f t="shared" si="31"/>
        <v>0</v>
      </c>
      <c r="AC79" s="74">
        <f t="shared" si="32"/>
        <v>652262.67599204089</v>
      </c>
      <c r="AD79" s="57">
        <f t="shared" si="33"/>
        <v>100.93820426989183</v>
      </c>
      <c r="AE79" s="57">
        <f t="shared" si="34"/>
        <v>601.84590297144587</v>
      </c>
      <c r="AF79" s="183">
        <f t="shared" si="35"/>
        <v>3369309.5166100138</v>
      </c>
      <c r="AG79" s="40">
        <f t="shared" si="36"/>
        <v>277.11456984616825</v>
      </c>
      <c r="AH79" s="183">
        <f t="shared" si="37"/>
        <v>6261.3017705427719</v>
      </c>
      <c r="AI79" s="25">
        <f t="shared" si="38"/>
        <v>1.9603429530916836</v>
      </c>
      <c r="AJ79" s="28">
        <f t="shared" si="39"/>
        <v>0</v>
      </c>
      <c r="AK79" s="16">
        <f t="shared" si="40"/>
        <v>8639</v>
      </c>
      <c r="AL79" s="40">
        <f t="shared" si="41"/>
        <v>1.7878725165562916</v>
      </c>
      <c r="AM79" s="40">
        <f t="shared" si="42"/>
        <v>4.3569352202547442</v>
      </c>
      <c r="AN79" s="183">
        <f t="shared" si="43"/>
        <v>16020.949610679052</v>
      </c>
      <c r="AO79" s="40">
        <f t="shared" si="44"/>
        <v>48.567550699670129</v>
      </c>
      <c r="AP79" s="183">
        <f t="shared" si="45"/>
        <v>4535.477270901175</v>
      </c>
      <c r="AQ79" s="25">
        <f t="shared" si="46"/>
        <v>1.9604872246141611</v>
      </c>
      <c r="AR79" s="28">
        <f t="shared" si="47"/>
        <v>0</v>
      </c>
      <c r="AS79" s="74">
        <f t="shared" si="48"/>
        <v>429116.58448067517</v>
      </c>
      <c r="AT79" s="57">
        <f t="shared" si="49"/>
        <v>88.807240165702638</v>
      </c>
      <c r="AU79" s="57">
        <f t="shared" si="50"/>
        <v>704.6620513133297</v>
      </c>
      <c r="AV79" s="183">
        <f t="shared" si="51"/>
        <v>2476825.7792382967</v>
      </c>
      <c r="AW79" s="40">
        <f t="shared" si="52"/>
        <v>189.11332145555463</v>
      </c>
      <c r="AX79" s="183">
        <f t="shared" si="53"/>
        <v>4504.994919775173</v>
      </c>
      <c r="AY79" s="25">
        <f t="shared" si="54"/>
        <v>1.960490826907147</v>
      </c>
      <c r="AZ79" s="188">
        <f t="shared" si="55"/>
        <v>0</v>
      </c>
    </row>
    <row r="80" spans="1:52" ht="15.75" thickTop="1" x14ac:dyDescent="0.25"/>
    <row r="83" spans="1:12" x14ac:dyDescent="0.25">
      <c r="A83" s="268" t="s">
        <v>71</v>
      </c>
      <c r="B83" s="268"/>
    </row>
    <row r="84" spans="1:12" x14ac:dyDescent="0.25">
      <c r="A84" s="268"/>
      <c r="B84" s="268"/>
    </row>
    <row r="85" spans="1:12" x14ac:dyDescent="0.25">
      <c r="A85" s="268"/>
      <c r="B85" s="268"/>
    </row>
    <row r="86" spans="1:12" x14ac:dyDescent="0.25">
      <c r="A86" s="6" t="s">
        <v>7</v>
      </c>
      <c r="B86" s="53" t="s">
        <v>8</v>
      </c>
      <c r="C86" s="8"/>
      <c r="D86" s="6"/>
      <c r="E86" s="6"/>
      <c r="F86" s="6"/>
      <c r="G86" s="6"/>
      <c r="H86" s="153" t="s">
        <v>42</v>
      </c>
      <c r="I86" s="151" t="s">
        <v>43</v>
      </c>
      <c r="J86" s="151" t="s">
        <v>32</v>
      </c>
      <c r="K86" s="151" t="s">
        <v>31</v>
      </c>
      <c r="L86" s="150" t="s">
        <v>46</v>
      </c>
    </row>
    <row r="87" spans="1:12" x14ac:dyDescent="0.25">
      <c r="A87" s="251" t="s">
        <v>72</v>
      </c>
      <c r="B87" s="5" t="s">
        <v>0</v>
      </c>
      <c r="F87" s="37">
        <f>F47-F55</f>
        <v>6.5644220154549515E-2</v>
      </c>
      <c r="H87" s="146">
        <f t="shared" ref="H87:H102" si="60">(E47-1)*G47+(E55-1)*G55/(E47+E55-2)</f>
        <v>1313.1956172893099</v>
      </c>
      <c r="I87" s="37">
        <f t="shared" ref="I87:I102" si="61">ABS(F87)/(SQRT((G47/E47)+(G55/E55)))</f>
        <v>0.65789550344481795</v>
      </c>
      <c r="J87" s="146">
        <f t="shared" ref="J87:J102" si="62">(G47^2/E47+G55^2/E55)/((G47^2/E47)/(E47-1)+(G55^2/E55)/(E55-1))</f>
        <v>565.36456414249301</v>
      </c>
      <c r="K87" s="23">
        <f>_xlfn.T.INV.2T(0.05,J87)</f>
        <v>1.9641715505901753</v>
      </c>
      <c r="L87" s="26">
        <f>_xlfn.T.DIST.2T(I87,J87)</f>
        <v>0.51087323135790552</v>
      </c>
    </row>
    <row r="88" spans="1:12" x14ac:dyDescent="0.25">
      <c r="A88" s="252"/>
      <c r="B88" s="5" t="s">
        <v>1</v>
      </c>
      <c r="F88" s="37">
        <f t="shared" ref="F88:F93" si="63">F48-F56</f>
        <v>-4.4451040582530688E-2</v>
      </c>
      <c r="G88" s="115"/>
      <c r="H88" s="146">
        <f t="shared" si="60"/>
        <v>3686.9740413870195</v>
      </c>
      <c r="I88" s="37">
        <f t="shared" si="61"/>
        <v>0.72865156487138616</v>
      </c>
      <c r="J88" s="146">
        <f t="shared" si="62"/>
        <v>1417.634584425012</v>
      </c>
      <c r="K88" s="23">
        <f t="shared" ref="K88:K102" si="64">_xlfn.T.INV.2T(0.05,J88)</f>
        <v>1.9616395416233356</v>
      </c>
      <c r="L88" s="26">
        <f t="shared" ref="L88:L93" si="65">_xlfn.T.DIST.2T(I88,J88)</f>
        <v>0.46633523020263556</v>
      </c>
    </row>
    <row r="89" spans="1:12" x14ac:dyDescent="0.25">
      <c r="A89" s="252"/>
      <c r="B89" s="5" t="s">
        <v>2</v>
      </c>
      <c r="F89" s="37">
        <f t="shared" si="63"/>
        <v>-7.4970265964638294E-2</v>
      </c>
      <c r="G89" s="115"/>
      <c r="H89" s="146">
        <f t="shared" si="60"/>
        <v>2858.1624968295905</v>
      </c>
      <c r="I89" s="37">
        <f t="shared" si="61"/>
        <v>1.091997235978605</v>
      </c>
      <c r="J89" s="146">
        <f t="shared" si="62"/>
        <v>1086.2845396382613</v>
      </c>
      <c r="K89" s="23">
        <f t="shared" si="64"/>
        <v>1.9621507915238838</v>
      </c>
      <c r="L89" s="26">
        <f t="shared" si="65"/>
        <v>0.27507650762862224</v>
      </c>
    </row>
    <row r="90" spans="1:12" x14ac:dyDescent="0.25">
      <c r="A90" s="252"/>
      <c r="B90" s="5" t="s">
        <v>3</v>
      </c>
      <c r="F90" s="37">
        <f t="shared" si="63"/>
        <v>0.18866601133244609</v>
      </c>
      <c r="G90" s="115"/>
      <c r="H90" s="146">
        <f t="shared" si="60"/>
        <v>8983.167672565025</v>
      </c>
      <c r="I90" s="37">
        <f t="shared" si="61"/>
        <v>4.1282255902617919</v>
      </c>
      <c r="J90" s="146">
        <f t="shared" si="62"/>
        <v>3017.3392170412394</v>
      </c>
      <c r="K90" s="23">
        <f t="shared" si="64"/>
        <v>1.9607505960887588</v>
      </c>
      <c r="L90" s="26">
        <f t="shared" si="65"/>
        <v>3.7547960300023641E-5</v>
      </c>
    </row>
    <row r="91" spans="1:12" x14ac:dyDescent="0.25">
      <c r="A91" s="252"/>
      <c r="B91" s="5" t="s">
        <v>4</v>
      </c>
      <c r="F91" s="37">
        <f t="shared" si="63"/>
        <v>-3.706671472101597E-2</v>
      </c>
      <c r="G91" s="115"/>
      <c r="H91" s="146">
        <f t="shared" si="60"/>
        <v>33785.551272721495</v>
      </c>
      <c r="I91" s="37">
        <f t="shared" si="61"/>
        <v>1.2721967948691089</v>
      </c>
      <c r="J91" s="146">
        <f t="shared" si="62"/>
        <v>9570.2662859505272</v>
      </c>
      <c r="K91" s="23">
        <f t="shared" si="64"/>
        <v>1.9602119015921382</v>
      </c>
      <c r="L91" s="26">
        <f t="shared" si="65"/>
        <v>0.2033341169925007</v>
      </c>
    </row>
    <row r="92" spans="1:12" x14ac:dyDescent="0.25">
      <c r="A92" s="252"/>
      <c r="B92" s="5" t="s">
        <v>5</v>
      </c>
      <c r="F92" s="37">
        <f t="shared" si="63"/>
        <v>0.19816551042880004</v>
      </c>
      <c r="G92" s="115"/>
      <c r="H92" s="146">
        <f t="shared" si="60"/>
        <v>58344.160744661007</v>
      </c>
      <c r="I92" s="37">
        <f t="shared" si="61"/>
        <v>7.8144575296565844</v>
      </c>
      <c r="J92" s="146">
        <f t="shared" si="62"/>
        <v>14118.328971854557</v>
      </c>
      <c r="K92" s="23">
        <f t="shared" si="64"/>
        <v>1.9601320303793803</v>
      </c>
      <c r="L92" s="26">
        <f t="shared" si="65"/>
        <v>5.9083582513181881E-15</v>
      </c>
    </row>
    <row r="93" spans="1:12" x14ac:dyDescent="0.25">
      <c r="A93" s="252"/>
      <c r="B93" s="6" t="s">
        <v>6</v>
      </c>
      <c r="C93" s="6"/>
      <c r="D93" s="6"/>
      <c r="E93" s="6"/>
      <c r="F93" s="39">
        <f t="shared" si="63"/>
        <v>5.9757151976769229E-2</v>
      </c>
      <c r="G93" s="6"/>
      <c r="H93" s="182">
        <f t="shared" si="60"/>
        <v>15895.649107826886</v>
      </c>
      <c r="I93" s="39">
        <f t="shared" si="61"/>
        <v>1.0789425309248619</v>
      </c>
      <c r="J93" s="182">
        <f t="shared" si="62"/>
        <v>3489.518859092826</v>
      </c>
      <c r="K93" s="24">
        <f t="shared" si="64"/>
        <v>1.9606441451622947</v>
      </c>
      <c r="L93" s="27">
        <f t="shared" si="65"/>
        <v>0.28068793063681691</v>
      </c>
    </row>
    <row r="94" spans="1:12" ht="15.75" thickBot="1" x14ac:dyDescent="0.3">
      <c r="A94" s="253"/>
      <c r="B94" s="67" t="s">
        <v>14</v>
      </c>
      <c r="C94" s="67"/>
      <c r="D94" s="67"/>
      <c r="E94" s="67"/>
      <c r="F94" s="70">
        <f>F54-F62</f>
        <v>9.7297938629702596E-2</v>
      </c>
      <c r="G94" s="67"/>
      <c r="H94" s="233">
        <f t="shared" si="60"/>
        <v>110937.08986365139</v>
      </c>
      <c r="I94" s="70">
        <f t="shared" si="61"/>
        <v>6.5220104249625424</v>
      </c>
      <c r="J94" s="233">
        <f t="shared" si="62"/>
        <v>33475.703294262457</v>
      </c>
      <c r="K94" s="125">
        <f t="shared" si="64"/>
        <v>1.9600348540102375</v>
      </c>
      <c r="L94" s="36">
        <f t="shared" ref="L94" si="66">_xlfn.T.DIST.2T(I94,J94)</f>
        <v>7.0358367240178557E-11</v>
      </c>
    </row>
    <row r="95" spans="1:12" ht="15.75" thickTop="1" x14ac:dyDescent="0.25">
      <c r="A95" s="254" t="s">
        <v>73</v>
      </c>
      <c r="B95" s="5" t="s">
        <v>0</v>
      </c>
      <c r="F95" s="37">
        <f>F55-F63</f>
        <v>-4.6692053300546821E-2</v>
      </c>
      <c r="H95" s="146">
        <f t="shared" si="60"/>
        <v>2165.0096776359687</v>
      </c>
      <c r="I95" s="37">
        <f t="shared" si="61"/>
        <v>0.45872157951018039</v>
      </c>
      <c r="J95" s="146">
        <f t="shared" si="62"/>
        <v>548.96011433439276</v>
      </c>
      <c r="K95" s="23">
        <f t="shared" si="64"/>
        <v>1.964302360992173</v>
      </c>
      <c r="L95" s="26">
        <f t="shared" ref="L95:L102" si="67">_xlfn.T.DIST.2T(I95,J95)</f>
        <v>0.64661599135097947</v>
      </c>
    </row>
    <row r="96" spans="1:12" x14ac:dyDescent="0.25">
      <c r="A96" s="252"/>
      <c r="B96" s="5" t="s">
        <v>1</v>
      </c>
      <c r="F96" s="37">
        <f t="shared" ref="F96:F102" si="68">F56-F64</f>
        <v>-3.7287136494629891E-2</v>
      </c>
      <c r="H96" s="146">
        <f t="shared" si="60"/>
        <v>8650.3185469833406</v>
      </c>
      <c r="I96" s="37">
        <f t="shared" si="61"/>
        <v>0.60249852278671157</v>
      </c>
      <c r="J96" s="146">
        <f t="shared" si="62"/>
        <v>1352.410039726346</v>
      </c>
      <c r="K96" s="23">
        <f t="shared" si="64"/>
        <v>1.9617201681762189</v>
      </c>
      <c r="L96" s="26">
        <f t="shared" si="67"/>
        <v>0.54694338222439898</v>
      </c>
    </row>
    <row r="97" spans="1:12" x14ac:dyDescent="0.25">
      <c r="A97" s="252"/>
      <c r="B97" s="5" t="s">
        <v>2</v>
      </c>
      <c r="F97" s="37">
        <f t="shared" si="68"/>
        <v>-0.14967346947066495</v>
      </c>
      <c r="H97" s="146">
        <f t="shared" si="60"/>
        <v>8261.4371016582481</v>
      </c>
      <c r="I97" s="37">
        <f t="shared" si="61"/>
        <v>2.2427904169305455</v>
      </c>
      <c r="J97" s="146">
        <f t="shared" si="62"/>
        <v>1094.682757006032</v>
      </c>
      <c r="K97" s="23">
        <f t="shared" si="64"/>
        <v>1.9621347828466795</v>
      </c>
      <c r="L97" s="26">
        <f t="shared" si="67"/>
        <v>2.5109944048716696E-2</v>
      </c>
    </row>
    <row r="98" spans="1:12" x14ac:dyDescent="0.25">
      <c r="A98" s="252"/>
      <c r="B98" s="5" t="s">
        <v>3</v>
      </c>
      <c r="F98" s="37">
        <f t="shared" si="68"/>
        <v>-0.23367661096903003</v>
      </c>
      <c r="H98" s="146">
        <f t="shared" si="60"/>
        <v>17261.072928889145</v>
      </c>
      <c r="I98" s="37">
        <f t="shared" si="61"/>
        <v>4.804536014875028</v>
      </c>
      <c r="J98" s="146">
        <f t="shared" si="62"/>
        <v>2549.2528358967443</v>
      </c>
      <c r="K98" s="23">
        <f t="shared" si="64"/>
        <v>1.960895086509534</v>
      </c>
      <c r="L98" s="26">
        <f t="shared" si="67"/>
        <v>1.6410756194619318E-6</v>
      </c>
    </row>
    <row r="99" spans="1:12" x14ac:dyDescent="0.25">
      <c r="A99" s="252"/>
      <c r="B99" s="5" t="s">
        <v>4</v>
      </c>
      <c r="F99" s="37">
        <f t="shared" si="68"/>
        <v>-9.6152361685884813E-2</v>
      </c>
      <c r="H99" s="146">
        <f t="shared" si="60"/>
        <v>66031.790030120916</v>
      </c>
      <c r="I99" s="37">
        <f t="shared" si="61"/>
        <v>3.3814783265210724</v>
      </c>
      <c r="J99" s="146">
        <f t="shared" si="62"/>
        <v>10443.471920934486</v>
      </c>
      <c r="K99" s="23">
        <f t="shared" si="64"/>
        <v>1.9601911741910023</v>
      </c>
      <c r="L99" s="26">
        <f t="shared" si="67"/>
        <v>7.2361360346645152E-4</v>
      </c>
    </row>
    <row r="100" spans="1:12" x14ac:dyDescent="0.25">
      <c r="A100" s="252"/>
      <c r="B100" s="5" t="s">
        <v>5</v>
      </c>
      <c r="F100" s="37">
        <f t="shared" si="68"/>
        <v>-0.1683229739257821</v>
      </c>
      <c r="H100" s="146">
        <f t="shared" si="60"/>
        <v>108531.47218192653</v>
      </c>
      <c r="I100" s="37">
        <f t="shared" si="61"/>
        <v>6.5050344856531472</v>
      </c>
      <c r="J100" s="146">
        <f t="shared" si="62"/>
        <v>13398.893212115563</v>
      </c>
      <c r="K100" s="23">
        <f t="shared" si="64"/>
        <v>1.9601410618581103</v>
      </c>
      <c r="L100" s="26">
        <f t="shared" si="67"/>
        <v>8.0434497816422655E-11</v>
      </c>
    </row>
    <row r="101" spans="1:12" x14ac:dyDescent="0.25">
      <c r="A101" s="252"/>
      <c r="B101" s="6" t="s">
        <v>6</v>
      </c>
      <c r="C101" s="6"/>
      <c r="D101" s="6"/>
      <c r="E101" s="6"/>
      <c r="F101" s="39">
        <f t="shared" si="68"/>
        <v>6.6375991478435203E-2</v>
      </c>
      <c r="G101" s="6"/>
      <c r="H101" s="182">
        <f t="shared" si="60"/>
        <v>27754.589383068174</v>
      </c>
      <c r="I101" s="39">
        <f t="shared" si="61"/>
        <v>1.1433082982387917</v>
      </c>
      <c r="J101" s="182">
        <f t="shared" si="62"/>
        <v>3151.9647755574747</v>
      </c>
      <c r="K101" s="24">
        <f t="shared" si="64"/>
        <v>1.9607171318693455</v>
      </c>
      <c r="L101" s="27">
        <f t="shared" si="67"/>
        <v>0.25299746487258568</v>
      </c>
    </row>
    <row r="102" spans="1:12" ht="15.75" thickBot="1" x14ac:dyDescent="0.3">
      <c r="A102" s="253"/>
      <c r="B102" s="67" t="s">
        <v>14</v>
      </c>
      <c r="C102" s="67"/>
      <c r="D102" s="67"/>
      <c r="E102" s="67"/>
      <c r="F102" s="70">
        <f t="shared" si="68"/>
        <v>-0.13209420177872033</v>
      </c>
      <c r="G102" s="67"/>
      <c r="H102" s="233">
        <f t="shared" si="60"/>
        <v>216650.64210387185</v>
      </c>
      <c r="I102" s="70">
        <f t="shared" si="61"/>
        <v>8.7632097701157221</v>
      </c>
      <c r="J102" s="233">
        <f t="shared" si="62"/>
        <v>32807.94973699945</v>
      </c>
      <c r="K102" s="125">
        <f t="shared" si="64"/>
        <v>1.9600362970729119</v>
      </c>
      <c r="L102" s="36">
        <f t="shared" si="67"/>
        <v>1.9870752492826902E-18</v>
      </c>
    </row>
    <row r="103" spans="1:12" ht="15.75" thickTop="1" x14ac:dyDescent="0.25">
      <c r="A103" s="254" t="s">
        <v>74</v>
      </c>
      <c r="B103" s="234" t="s">
        <v>0</v>
      </c>
      <c r="C103" s="234"/>
      <c r="D103" s="234"/>
      <c r="E103" s="234"/>
      <c r="F103" s="235">
        <f>F47-F63</f>
        <v>1.8952166854002694E-2</v>
      </c>
      <c r="G103" s="234"/>
      <c r="H103" s="236">
        <f t="shared" ref="H103:H110" si="69">(E47-1)*G47+(E63-1)*G63/(E47+E63-2)</f>
        <v>1312.7706772931645</v>
      </c>
      <c r="I103" s="235">
        <f t="shared" ref="I103:I110" si="70">ABS(F103)/(SQRT((G47/E47)+(G63/E63)))</f>
        <v>0.17543325101565271</v>
      </c>
      <c r="J103" s="236">
        <f t="shared" ref="J103:J110" si="71">(G47^2/E47+G63^2/E63)/((G47^2/E47)/(E47-1)+(G63^2/E63)/(E63-1))</f>
        <v>474.51477727596074</v>
      </c>
      <c r="K103" s="237">
        <f>_xlfn.T.INV.2T(0.05,J103)</f>
        <v>1.9649813627244113</v>
      </c>
      <c r="L103" s="238">
        <f>_xlfn.T.DIST.2T(I103,J103)</f>
        <v>0.86081413173331467</v>
      </c>
    </row>
    <row r="104" spans="1:12" x14ac:dyDescent="0.25">
      <c r="A104" s="252"/>
      <c r="B104" s="5" t="s">
        <v>1</v>
      </c>
      <c r="C104" s="5"/>
      <c r="D104" s="5"/>
      <c r="E104" s="5"/>
      <c r="F104" s="71">
        <f t="shared" ref="F104:F110" si="72">F48-F64</f>
        <v>-8.1738177077160579E-2</v>
      </c>
      <c r="G104" s="5"/>
      <c r="H104" s="239">
        <f t="shared" si="69"/>
        <v>3686.3236193719977</v>
      </c>
      <c r="I104" s="71">
        <f t="shared" si="70"/>
        <v>1.1135703959536543</v>
      </c>
      <c r="J104" s="239">
        <f t="shared" si="71"/>
        <v>1151.3518566283506</v>
      </c>
      <c r="K104" s="124">
        <f t="shared" ref="K104:K110" si="73">_xlfn.T.INV.2T(0.05,J104)</f>
        <v>1.9620271690533801</v>
      </c>
      <c r="L104" s="148">
        <f t="shared" ref="L104:L110" si="74">_xlfn.T.DIST.2T(I104,J104)</f>
        <v>0.26569602399032366</v>
      </c>
    </row>
    <row r="105" spans="1:12" x14ac:dyDescent="0.25">
      <c r="A105" s="252"/>
      <c r="B105" s="5" t="s">
        <v>2</v>
      </c>
      <c r="C105" s="5"/>
      <c r="D105" s="5"/>
      <c r="E105" s="5"/>
      <c r="F105" s="71">
        <f t="shared" si="72"/>
        <v>-0.22464373543530325</v>
      </c>
      <c r="G105" s="5"/>
      <c r="H105" s="239">
        <f t="shared" si="69"/>
        <v>2857.2220508888695</v>
      </c>
      <c r="I105" s="71">
        <f t="shared" si="70"/>
        <v>2.7369011815301731</v>
      </c>
      <c r="J105" s="239">
        <f t="shared" si="71"/>
        <v>893.30846999948187</v>
      </c>
      <c r="K105" s="124">
        <f t="shared" si="73"/>
        <v>1.962624046276112</v>
      </c>
      <c r="L105" s="148">
        <f t="shared" si="74"/>
        <v>6.325296352687932E-3</v>
      </c>
    </row>
    <row r="106" spans="1:12" x14ac:dyDescent="0.25">
      <c r="A106" s="252"/>
      <c r="B106" s="5" t="s">
        <v>3</v>
      </c>
      <c r="C106" s="5"/>
      <c r="D106" s="5"/>
      <c r="E106" s="5"/>
      <c r="F106" s="71">
        <f t="shared" si="72"/>
        <v>-4.5010599636583937E-2</v>
      </c>
      <c r="G106" s="5"/>
      <c r="H106" s="239">
        <f t="shared" si="69"/>
        <v>8982.5100697855505</v>
      </c>
      <c r="I106" s="71">
        <f t="shared" si="70"/>
        <v>0.81194816320366148</v>
      </c>
      <c r="J106" s="239">
        <f t="shared" si="71"/>
        <v>2297.6515851623826</v>
      </c>
      <c r="K106" s="124">
        <f t="shared" si="73"/>
        <v>1.9609972890637295</v>
      </c>
      <c r="L106" s="148">
        <f t="shared" si="74"/>
        <v>0.41690550914579561</v>
      </c>
    </row>
    <row r="107" spans="1:12" x14ac:dyDescent="0.25">
      <c r="A107" s="252"/>
      <c r="B107" s="5" t="s">
        <v>4</v>
      </c>
      <c r="C107" s="5"/>
      <c r="D107" s="5"/>
      <c r="E107" s="5"/>
      <c r="F107" s="71">
        <f t="shared" si="72"/>
        <v>-0.13321907640690078</v>
      </c>
      <c r="G107" s="5"/>
      <c r="H107" s="239">
        <f t="shared" si="69"/>
        <v>33784.948721004912</v>
      </c>
      <c r="I107" s="71">
        <f t="shared" si="70"/>
        <v>4.1338192951459298</v>
      </c>
      <c r="J107" s="239">
        <f t="shared" si="71"/>
        <v>8341.9133563041378</v>
      </c>
      <c r="K107" s="124">
        <f t="shared" si="73"/>
        <v>1.9602484360030175</v>
      </c>
      <c r="L107" s="148">
        <f t="shared" si="74"/>
        <v>3.602773867483999E-5</v>
      </c>
    </row>
    <row r="108" spans="1:12" x14ac:dyDescent="0.25">
      <c r="A108" s="252"/>
      <c r="B108" s="5" t="s">
        <v>5</v>
      </c>
      <c r="C108" s="5"/>
      <c r="D108" s="5"/>
      <c r="E108" s="5"/>
      <c r="F108" s="71">
        <f t="shared" si="72"/>
        <v>2.9842536503017936E-2</v>
      </c>
      <c r="G108" s="5"/>
      <c r="H108" s="239">
        <f t="shared" si="69"/>
        <v>58343.355462440937</v>
      </c>
      <c r="I108" s="71">
        <f t="shared" si="70"/>
        <v>1.0173591275911704</v>
      </c>
      <c r="J108" s="239">
        <f t="shared" si="71"/>
        <v>11487.7862603097</v>
      </c>
      <c r="K108" s="124">
        <f t="shared" si="73"/>
        <v>1.9601705238416856</v>
      </c>
      <c r="L108" s="148">
        <f t="shared" si="74"/>
        <v>0.30900404483630811</v>
      </c>
    </row>
    <row r="109" spans="1:12" x14ac:dyDescent="0.25">
      <c r="A109" s="252"/>
      <c r="B109" s="6" t="s">
        <v>6</v>
      </c>
      <c r="C109" s="6"/>
      <c r="D109" s="6"/>
      <c r="E109" s="6"/>
      <c r="F109" s="39">
        <f t="shared" si="72"/>
        <v>0.12613314345520443</v>
      </c>
      <c r="G109" s="6"/>
      <c r="H109" s="182">
        <f t="shared" si="69"/>
        <v>15894.724951726594</v>
      </c>
      <c r="I109" s="39">
        <f t="shared" si="70"/>
        <v>1.9945811725988496</v>
      </c>
      <c r="J109" s="182">
        <f t="shared" si="71"/>
        <v>2759.3950952972514</v>
      </c>
      <c r="K109" s="24">
        <f t="shared" si="73"/>
        <v>1.9608241855480457</v>
      </c>
      <c r="L109" s="27">
        <f t="shared" si="74"/>
        <v>4.6186810002798076E-2</v>
      </c>
    </row>
    <row r="110" spans="1:12" ht="15.75" thickBot="1" x14ac:dyDescent="0.3">
      <c r="A110" s="253"/>
      <c r="B110" s="67" t="s">
        <v>14</v>
      </c>
      <c r="C110" s="67"/>
      <c r="D110" s="67"/>
      <c r="E110" s="67"/>
      <c r="F110" s="70">
        <f t="shared" si="72"/>
        <v>-3.4796263149017737E-2</v>
      </c>
      <c r="G110" s="67"/>
      <c r="H110" s="233">
        <f t="shared" si="69"/>
        <v>110936.39438155187</v>
      </c>
      <c r="I110" s="70">
        <f t="shared" si="70"/>
        <v>2.0357226600783003</v>
      </c>
      <c r="J110" s="233">
        <f t="shared" si="71"/>
        <v>27518.965653852381</v>
      </c>
      <c r="K110" s="125">
        <f t="shared" si="73"/>
        <v>1.9600501962490673</v>
      </c>
      <c r="L110" s="36">
        <f t="shared" si="74"/>
        <v>4.1787771318875067E-2</v>
      </c>
    </row>
    <row r="111" spans="1:12" ht="15.75" thickTop="1" x14ac:dyDescent="0.25">
      <c r="A111" s="41"/>
      <c r="B111" s="41"/>
    </row>
    <row r="112" spans="1:12" x14ac:dyDescent="0.25">
      <c r="A112" s="216"/>
      <c r="B112" s="5"/>
    </row>
    <row r="113" spans="1:2" x14ac:dyDescent="0.25">
      <c r="A113" s="216"/>
      <c r="B113" s="5"/>
    </row>
    <row r="114" spans="1:2" x14ac:dyDescent="0.25">
      <c r="A114" s="216"/>
      <c r="B114" s="5"/>
    </row>
    <row r="115" spans="1:2" x14ac:dyDescent="0.25">
      <c r="A115" s="216"/>
      <c r="B115" s="5"/>
    </row>
    <row r="116" spans="1:2" x14ac:dyDescent="0.25">
      <c r="A116" s="216"/>
      <c r="B116" s="5"/>
    </row>
    <row r="117" spans="1:2" x14ac:dyDescent="0.25">
      <c r="A117" s="216"/>
      <c r="B117" s="5"/>
    </row>
    <row r="118" spans="1:2" x14ac:dyDescent="0.25">
      <c r="A118" s="216"/>
      <c r="B118" s="5"/>
    </row>
    <row r="119" spans="1:2" x14ac:dyDescent="0.25">
      <c r="A119" s="216"/>
      <c r="B119" s="5"/>
    </row>
  </sheetData>
  <mergeCells count="68">
    <mergeCell ref="A87:A94"/>
    <mergeCell ref="A95:A102"/>
    <mergeCell ref="A103:A110"/>
    <mergeCell ref="A72:A79"/>
    <mergeCell ref="A83:B85"/>
    <mergeCell ref="AS45:AU45"/>
    <mergeCell ref="AK43:AZ43"/>
    <mergeCell ref="E44:L44"/>
    <mergeCell ref="M44:T44"/>
    <mergeCell ref="U44:AB44"/>
    <mergeCell ref="AC44:AJ44"/>
    <mergeCell ref="AK44:AR44"/>
    <mergeCell ref="AS44:AZ44"/>
    <mergeCell ref="AV45:AZ45"/>
    <mergeCell ref="E43:T43"/>
    <mergeCell ref="AF45:AJ45"/>
    <mergeCell ref="A63:A70"/>
    <mergeCell ref="A71:B71"/>
    <mergeCell ref="AK45:AM45"/>
    <mergeCell ref="AN45:AR45"/>
    <mergeCell ref="C44:D45"/>
    <mergeCell ref="A47:A54"/>
    <mergeCell ref="A43:B45"/>
    <mergeCell ref="U43:AJ43"/>
    <mergeCell ref="E45:G45"/>
    <mergeCell ref="H45:L45"/>
    <mergeCell ref="M45:O45"/>
    <mergeCell ref="P45:T45"/>
    <mergeCell ref="U45:W45"/>
    <mergeCell ref="X45:AB45"/>
    <mergeCell ref="AC45:AE45"/>
    <mergeCell ref="O5:P5"/>
    <mergeCell ref="C4:D5"/>
    <mergeCell ref="E4:J4"/>
    <mergeCell ref="K4:P4"/>
    <mergeCell ref="A55:A62"/>
    <mergeCell ref="S5:T5"/>
    <mergeCell ref="AO5:AP5"/>
    <mergeCell ref="AG5:AH5"/>
    <mergeCell ref="AI5:AJ5"/>
    <mergeCell ref="A32:A39"/>
    <mergeCell ref="A3:B5"/>
    <mergeCell ref="A7:A14"/>
    <mergeCell ref="A15:A22"/>
    <mergeCell ref="A23:A30"/>
    <mergeCell ref="A31:B31"/>
    <mergeCell ref="C3:P3"/>
    <mergeCell ref="E5:F5"/>
    <mergeCell ref="G5:H5"/>
    <mergeCell ref="I5:J5"/>
    <mergeCell ref="K5:L5"/>
    <mergeCell ref="M5:N5"/>
    <mergeCell ref="AQ5:AR5"/>
    <mergeCell ref="AE4:AF5"/>
    <mergeCell ref="AE3:AR3"/>
    <mergeCell ref="Q3:AD3"/>
    <mergeCell ref="S4:X4"/>
    <mergeCell ref="Y4:AD4"/>
    <mergeCell ref="AG4:AL4"/>
    <mergeCell ref="AM4:AR4"/>
    <mergeCell ref="AA5:AB5"/>
    <mergeCell ref="AM5:AN5"/>
    <mergeCell ref="AK5:AL5"/>
    <mergeCell ref="U5:V5"/>
    <mergeCell ref="W5:X5"/>
    <mergeCell ref="Y5:Z5"/>
    <mergeCell ref="AC5:AD5"/>
    <mergeCell ref="Q4:R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80"/>
  <sheetViews>
    <sheetView zoomScale="85" zoomScaleNormal="85" workbookViewId="0">
      <selection activeCell="I25" sqref="I25"/>
    </sheetView>
  </sheetViews>
  <sheetFormatPr baseColWidth="10" defaultRowHeight="15" x14ac:dyDescent="0.25"/>
  <cols>
    <col min="11" max="11" width="12.140625" bestFit="1" customWidth="1"/>
  </cols>
  <sheetData>
    <row r="3" spans="1:44" x14ac:dyDescent="0.25">
      <c r="A3" s="268" t="s">
        <v>33</v>
      </c>
      <c r="B3" s="268"/>
      <c r="C3" s="270" t="s">
        <v>39</v>
      </c>
      <c r="D3" s="272"/>
      <c r="E3" s="264" t="s">
        <v>40</v>
      </c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65"/>
      <c r="Q3" s="264" t="s">
        <v>22</v>
      </c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65"/>
      <c r="AE3" s="264" t="s">
        <v>23</v>
      </c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65"/>
    </row>
    <row r="4" spans="1:44" ht="15" customHeight="1" x14ac:dyDescent="0.25">
      <c r="A4" s="268"/>
      <c r="B4" s="268"/>
      <c r="C4" s="270"/>
      <c r="D4" s="272"/>
      <c r="E4" s="264" t="s">
        <v>29</v>
      </c>
      <c r="F4" s="255"/>
      <c r="G4" s="255"/>
      <c r="H4" s="255"/>
      <c r="I4" s="255"/>
      <c r="J4" s="265"/>
      <c r="K4" s="264" t="s">
        <v>30</v>
      </c>
      <c r="L4" s="255"/>
      <c r="M4" s="255"/>
      <c r="N4" s="255"/>
      <c r="O4" s="255"/>
      <c r="P4" s="265"/>
      <c r="Q4" s="270" t="s">
        <v>39</v>
      </c>
      <c r="R4" s="271"/>
      <c r="S4" s="91" t="s">
        <v>29</v>
      </c>
      <c r="T4" s="41"/>
      <c r="U4" s="41"/>
      <c r="V4" s="41"/>
      <c r="W4" s="41"/>
      <c r="X4" s="92"/>
      <c r="Y4" s="91" t="s">
        <v>30</v>
      </c>
      <c r="Z4" s="41"/>
      <c r="AA4" s="41"/>
      <c r="AB4" s="41"/>
      <c r="AC4" s="41"/>
      <c r="AD4" s="92"/>
      <c r="AE4" s="270" t="s">
        <v>39</v>
      </c>
      <c r="AF4" s="271"/>
      <c r="AG4" s="91" t="s">
        <v>29</v>
      </c>
      <c r="AH4" s="41"/>
      <c r="AI4" s="41"/>
      <c r="AJ4" s="41"/>
      <c r="AK4" s="41"/>
      <c r="AL4" s="92"/>
      <c r="AM4" s="91" t="s">
        <v>30</v>
      </c>
      <c r="AN4" s="41"/>
      <c r="AO4" s="41"/>
      <c r="AP4" s="41"/>
      <c r="AQ4" s="41"/>
      <c r="AR4" s="92"/>
    </row>
    <row r="5" spans="1:44" x14ac:dyDescent="0.25">
      <c r="A5" s="268"/>
      <c r="B5" s="268"/>
      <c r="C5" s="270"/>
      <c r="D5" s="272"/>
      <c r="E5" s="264" t="s">
        <v>26</v>
      </c>
      <c r="F5" s="265"/>
      <c r="G5" s="264" t="s">
        <v>27</v>
      </c>
      <c r="H5" s="265"/>
      <c r="I5" s="264" t="s">
        <v>28</v>
      </c>
      <c r="J5" s="265"/>
      <c r="K5" s="264" t="s">
        <v>26</v>
      </c>
      <c r="L5" s="265"/>
      <c r="M5" s="264" t="s">
        <v>27</v>
      </c>
      <c r="N5" s="265"/>
      <c r="O5" s="264" t="s">
        <v>28</v>
      </c>
      <c r="P5" s="265"/>
      <c r="Q5" s="270"/>
      <c r="R5" s="271"/>
      <c r="S5" s="264" t="s">
        <v>26</v>
      </c>
      <c r="T5" s="265"/>
      <c r="U5" s="264" t="s">
        <v>27</v>
      </c>
      <c r="V5" s="265"/>
      <c r="W5" s="264" t="s">
        <v>28</v>
      </c>
      <c r="X5" s="265"/>
      <c r="Y5" s="264" t="s">
        <v>26</v>
      </c>
      <c r="Z5" s="265"/>
      <c r="AA5" s="264" t="s">
        <v>27</v>
      </c>
      <c r="AB5" s="265"/>
      <c r="AC5" s="264" t="s">
        <v>28</v>
      </c>
      <c r="AD5" s="265"/>
      <c r="AE5" s="270"/>
      <c r="AF5" s="271"/>
      <c r="AG5" s="264" t="s">
        <v>26</v>
      </c>
      <c r="AH5" s="265"/>
      <c r="AI5" s="264" t="s">
        <v>27</v>
      </c>
      <c r="AJ5" s="265"/>
      <c r="AK5" s="264" t="s">
        <v>28</v>
      </c>
      <c r="AL5" s="265"/>
      <c r="AM5" s="264" t="s">
        <v>26</v>
      </c>
      <c r="AN5" s="265"/>
      <c r="AO5" s="264" t="s">
        <v>27</v>
      </c>
      <c r="AP5" s="265"/>
      <c r="AQ5" s="264" t="s">
        <v>28</v>
      </c>
      <c r="AR5" s="265"/>
    </row>
    <row r="6" spans="1:44" x14ac:dyDescent="0.25">
      <c r="A6" s="6" t="s">
        <v>7</v>
      </c>
      <c r="B6" s="6" t="s">
        <v>8</v>
      </c>
      <c r="C6" s="8" t="s">
        <v>24</v>
      </c>
      <c r="D6" s="6" t="s">
        <v>25</v>
      </c>
      <c r="E6" s="8" t="s">
        <v>24</v>
      </c>
      <c r="F6" s="6" t="s">
        <v>25</v>
      </c>
      <c r="G6" s="8" t="s">
        <v>24</v>
      </c>
      <c r="H6" s="6" t="s">
        <v>25</v>
      </c>
      <c r="I6" s="8" t="s">
        <v>24</v>
      </c>
      <c r="J6" s="6" t="s">
        <v>25</v>
      </c>
      <c r="K6" s="8" t="s">
        <v>24</v>
      </c>
      <c r="L6" s="6" t="s">
        <v>25</v>
      </c>
      <c r="M6" s="8" t="s">
        <v>24</v>
      </c>
      <c r="N6" s="6" t="s">
        <v>25</v>
      </c>
      <c r="O6" s="8" t="s">
        <v>24</v>
      </c>
      <c r="P6" s="6" t="s">
        <v>25</v>
      </c>
      <c r="Q6" s="8" t="s">
        <v>24</v>
      </c>
      <c r="R6" s="53" t="s">
        <v>25</v>
      </c>
      <c r="S6" s="8" t="s">
        <v>24</v>
      </c>
      <c r="T6" s="6" t="s">
        <v>25</v>
      </c>
      <c r="U6" s="8" t="s">
        <v>24</v>
      </c>
      <c r="V6" s="6" t="s">
        <v>25</v>
      </c>
      <c r="W6" s="8" t="s">
        <v>24</v>
      </c>
      <c r="X6" s="6" t="s">
        <v>25</v>
      </c>
      <c r="Y6" s="8" t="s">
        <v>24</v>
      </c>
      <c r="Z6" s="6" t="s">
        <v>25</v>
      </c>
      <c r="AA6" s="8" t="s">
        <v>24</v>
      </c>
      <c r="AB6" s="6" t="s">
        <v>25</v>
      </c>
      <c r="AC6" s="8" t="s">
        <v>24</v>
      </c>
      <c r="AD6" s="6" t="s">
        <v>25</v>
      </c>
      <c r="AE6" s="8" t="s">
        <v>24</v>
      </c>
      <c r="AF6" s="53" t="s">
        <v>25</v>
      </c>
      <c r="AG6" s="8" t="s">
        <v>24</v>
      </c>
      <c r="AH6" s="6" t="s">
        <v>25</v>
      </c>
      <c r="AI6" s="8" t="s">
        <v>24</v>
      </c>
      <c r="AJ6" s="6" t="s">
        <v>25</v>
      </c>
      <c r="AK6" s="8" t="s">
        <v>24</v>
      </c>
      <c r="AL6" s="6" t="s">
        <v>25</v>
      </c>
      <c r="AM6" s="8" t="s">
        <v>24</v>
      </c>
      <c r="AN6" s="6" t="s">
        <v>25</v>
      </c>
      <c r="AO6" s="8" t="s">
        <v>24</v>
      </c>
      <c r="AP6" s="6" t="s">
        <v>25</v>
      </c>
      <c r="AQ6" s="8" t="s">
        <v>24</v>
      </c>
      <c r="AR6" s="53" t="s">
        <v>25</v>
      </c>
    </row>
    <row r="7" spans="1:44" x14ac:dyDescent="0.25">
      <c r="A7" s="260">
        <v>2012</v>
      </c>
      <c r="B7" s="12" t="s">
        <v>0</v>
      </c>
      <c r="C7" s="90">
        <v>416</v>
      </c>
      <c r="D7" s="115">
        <v>308</v>
      </c>
      <c r="E7" s="90">
        <v>1641</v>
      </c>
      <c r="F7" s="115">
        <v>896</v>
      </c>
      <c r="G7" s="37">
        <f>E7/IncidenceComplications!$G4</f>
        <v>3.4474789915966388</v>
      </c>
      <c r="H7" s="37">
        <f>F7/IncidenceComplications!$G4</f>
        <v>1.8823529411764706</v>
      </c>
      <c r="I7" s="37">
        <v>2.82384097</v>
      </c>
      <c r="J7" s="37">
        <v>2.4058751599999999</v>
      </c>
      <c r="K7" s="73">
        <v>6899.3989899999997</v>
      </c>
      <c r="L7" s="94">
        <v>3479.2549399999998</v>
      </c>
      <c r="M7" s="95">
        <f>K7/IncidenceComplications!$G4</f>
        <v>14.49453569327731</v>
      </c>
      <c r="N7" s="95">
        <f>L7/IncidenceComplications!$G4</f>
        <v>7.309359117647058</v>
      </c>
      <c r="O7" s="95">
        <v>15.345721899999999</v>
      </c>
      <c r="P7" s="96">
        <v>13.082319399999999</v>
      </c>
      <c r="Q7" s="2">
        <v>132</v>
      </c>
      <c r="R7" s="102">
        <v>132</v>
      </c>
      <c r="S7" s="115">
        <v>705</v>
      </c>
      <c r="T7" s="115">
        <v>250</v>
      </c>
      <c r="U7" s="37">
        <f>S7/IncidenceComplications!M4</f>
        <v>5.3409090909090908</v>
      </c>
      <c r="V7" s="37">
        <f>T7/IncidenceComplications!M4</f>
        <v>1.893939393939394</v>
      </c>
      <c r="W7" s="37">
        <v>3.078687</v>
      </c>
      <c r="X7" s="37">
        <v>2.4471749599999999</v>
      </c>
      <c r="Y7" s="73">
        <v>3292.5150400000002</v>
      </c>
      <c r="Z7" s="49">
        <v>1071.29573</v>
      </c>
      <c r="AA7" s="69">
        <f>Y7/IncidenceComplications!M4</f>
        <v>24.943295757575758</v>
      </c>
      <c r="AB7" s="69">
        <f>Z7/IncidenceComplications!M4</f>
        <v>8.1158767424242431</v>
      </c>
      <c r="AC7" s="69">
        <v>17.082246399999999</v>
      </c>
      <c r="AD7" s="69">
        <v>16.0355724</v>
      </c>
      <c r="AE7" s="2">
        <v>61</v>
      </c>
      <c r="AF7" s="102">
        <v>61</v>
      </c>
      <c r="AG7" s="90">
        <v>266</v>
      </c>
      <c r="AH7" s="5">
        <v>125</v>
      </c>
      <c r="AI7" s="71">
        <f>AG7/IncidenceComplications!W4</f>
        <v>4.360655737704918</v>
      </c>
      <c r="AJ7" s="71">
        <f>AH7/IncidenceComplications!W4</f>
        <v>2.0491803278688523</v>
      </c>
      <c r="AK7" s="71">
        <v>3.4834503300000002</v>
      </c>
      <c r="AL7" s="71">
        <v>2.3268450000000001</v>
      </c>
      <c r="AM7" s="73">
        <v>1233.64195</v>
      </c>
      <c r="AN7" s="51">
        <v>557.17558699999995</v>
      </c>
      <c r="AO7" s="68">
        <f>AM7/IncidenceComplications!W4</f>
        <v>20.223638524590164</v>
      </c>
      <c r="AP7" s="68">
        <f>AN7/IncidenceComplications!W4</f>
        <v>9.1340260163934417</v>
      </c>
      <c r="AQ7" s="68">
        <v>18.2712261</v>
      </c>
      <c r="AR7" s="78">
        <v>20.431138900000001</v>
      </c>
    </row>
    <row r="8" spans="1:44" x14ac:dyDescent="0.25">
      <c r="A8" s="261"/>
      <c r="B8" s="5" t="s">
        <v>1</v>
      </c>
      <c r="C8" s="2">
        <v>1336</v>
      </c>
      <c r="D8" s="115">
        <v>991</v>
      </c>
      <c r="E8" s="2">
        <v>5336</v>
      </c>
      <c r="F8" s="115">
        <v>3364</v>
      </c>
      <c r="G8" s="37">
        <f>E8/IncidenceComplications!$G5</f>
        <v>3.4784876140808345</v>
      </c>
      <c r="H8" s="37">
        <f>F8/IncidenceComplications!$G5</f>
        <v>2.1929595827900914</v>
      </c>
      <c r="I8" s="37">
        <v>3.1237563800000001</v>
      </c>
      <c r="J8" s="37">
        <v>2.6442572700000002</v>
      </c>
      <c r="K8" s="54">
        <v>31511.518499999998</v>
      </c>
      <c r="L8" s="51">
        <v>21002.140599999999</v>
      </c>
      <c r="M8" s="68">
        <f>K8/IncidenceComplications!$G5</f>
        <v>20.542058996088656</v>
      </c>
      <c r="N8" s="68">
        <f>L8/IncidenceComplications!$G5</f>
        <v>13.691095567144719</v>
      </c>
      <c r="O8" s="68">
        <v>21.457319699999999</v>
      </c>
      <c r="P8" s="78">
        <v>19.363337300000001</v>
      </c>
      <c r="Q8" s="2">
        <v>494</v>
      </c>
      <c r="R8" s="102">
        <v>494</v>
      </c>
      <c r="S8" s="115">
        <v>2426</v>
      </c>
      <c r="T8" s="115">
        <v>1225</v>
      </c>
      <c r="U8" s="37">
        <f>S8/IncidenceComplications!M5</f>
        <v>4.9109311740890691</v>
      </c>
      <c r="V8" s="37">
        <f>T8/IncidenceComplications!M5</f>
        <v>2.4797570850202431</v>
      </c>
      <c r="W8" s="37">
        <v>3.6030415900000001</v>
      </c>
      <c r="X8" s="37">
        <v>2.6944829700000001</v>
      </c>
      <c r="Y8" s="54">
        <v>14323.3231</v>
      </c>
      <c r="Z8" s="49">
        <v>7607.7522499999995</v>
      </c>
      <c r="AA8" s="69">
        <f>Y8/IncidenceComplications!M5</f>
        <v>28.994581174089067</v>
      </c>
      <c r="AB8" s="69">
        <f>Z8/IncidenceComplications!M5</f>
        <v>15.400308198380566</v>
      </c>
      <c r="AC8" s="69">
        <v>24.428403899999999</v>
      </c>
      <c r="AD8" s="69">
        <v>18.9193125</v>
      </c>
      <c r="AE8" s="2">
        <v>158</v>
      </c>
      <c r="AF8" s="102">
        <v>158</v>
      </c>
      <c r="AG8" s="2">
        <v>796</v>
      </c>
      <c r="AH8" s="5">
        <v>431</v>
      </c>
      <c r="AI8" s="71">
        <f>AG8/IncidenceComplications!W5</f>
        <v>5.037974683544304</v>
      </c>
      <c r="AJ8" s="71">
        <f>AH8/IncidenceComplications!W5</f>
        <v>2.7278481012658227</v>
      </c>
      <c r="AK8" s="71">
        <v>4.05987995</v>
      </c>
      <c r="AL8" s="71">
        <v>2.5950681599999998</v>
      </c>
      <c r="AM8" s="54">
        <v>5360.2456000000002</v>
      </c>
      <c r="AN8" s="51">
        <v>2499.9343699999999</v>
      </c>
      <c r="AO8" s="68">
        <f>AM8/IncidenceComplications!W5</f>
        <v>33.925605063291144</v>
      </c>
      <c r="AP8" s="68">
        <f>AN8/IncidenceComplications!W5</f>
        <v>15.822369430379746</v>
      </c>
      <c r="AQ8" s="68">
        <v>27.900200099999999</v>
      </c>
      <c r="AR8" s="78">
        <v>17.799250600000001</v>
      </c>
    </row>
    <row r="9" spans="1:44" x14ac:dyDescent="0.25">
      <c r="A9" s="261"/>
      <c r="B9" s="5" t="s">
        <v>2</v>
      </c>
      <c r="C9" s="2">
        <v>895</v>
      </c>
      <c r="D9" s="115">
        <v>508</v>
      </c>
      <c r="E9" s="2">
        <v>2707</v>
      </c>
      <c r="F9" s="115">
        <v>1348</v>
      </c>
      <c r="G9" s="37">
        <f>E9/IncidenceComplications!$G6</f>
        <v>2.4564428312159712</v>
      </c>
      <c r="H9" s="37">
        <f>F9/IncidenceComplications!$G6</f>
        <v>1.2232304900181488</v>
      </c>
      <c r="I9" s="37">
        <v>2.1398450100000002</v>
      </c>
      <c r="J9" s="37">
        <v>1.8823443</v>
      </c>
      <c r="K9" s="54">
        <v>18884.889599999999</v>
      </c>
      <c r="L9" s="51">
        <v>9790.2837600000003</v>
      </c>
      <c r="M9" s="68">
        <f>K9/IncidenceComplications!$G6</f>
        <v>17.13692341197822</v>
      </c>
      <c r="N9" s="68">
        <f>L9/IncidenceComplications!$G6</f>
        <v>8.8841050453720509</v>
      </c>
      <c r="O9" s="68">
        <v>19.100616599999999</v>
      </c>
      <c r="P9" s="78">
        <v>15.091700299999999</v>
      </c>
      <c r="Q9" s="2">
        <v>168</v>
      </c>
      <c r="R9" s="102">
        <v>168</v>
      </c>
      <c r="S9" s="115">
        <v>619</v>
      </c>
      <c r="T9" s="115">
        <v>207</v>
      </c>
      <c r="U9" s="37">
        <f>S9/IncidenceComplications!M6</f>
        <v>3.6845238095238093</v>
      </c>
      <c r="V9" s="37">
        <f>T9/IncidenceComplications!M6</f>
        <v>1.2321428571428572</v>
      </c>
      <c r="W9" s="37">
        <v>2.5784456200000001</v>
      </c>
      <c r="X9" s="37">
        <v>1.85386217</v>
      </c>
      <c r="Y9" s="54">
        <v>4721.28604</v>
      </c>
      <c r="Z9" s="49">
        <v>1486.4565399999999</v>
      </c>
      <c r="AA9" s="69">
        <f>Y9/IncidenceComplications!M6</f>
        <v>28.102893095238095</v>
      </c>
      <c r="AB9" s="69">
        <f>Z9/IncidenceComplications!M6</f>
        <v>8.8479555952380942</v>
      </c>
      <c r="AC9" s="69">
        <v>25.2194848</v>
      </c>
      <c r="AD9" s="69">
        <v>13.2503864</v>
      </c>
      <c r="AE9" s="2">
        <v>91</v>
      </c>
      <c r="AF9" s="102">
        <v>91</v>
      </c>
      <c r="AG9" s="2">
        <v>321</v>
      </c>
      <c r="AH9" s="5">
        <v>112</v>
      </c>
      <c r="AI9" s="71">
        <f>AG9/IncidenceComplications!W6</f>
        <v>3.5274725274725274</v>
      </c>
      <c r="AJ9" s="71">
        <f>AH9/IncidenceComplications!W6</f>
        <v>1.2307692307692308</v>
      </c>
      <c r="AK9" s="71">
        <v>2.5531708399999999</v>
      </c>
      <c r="AL9" s="71">
        <v>1.7768694300000001</v>
      </c>
      <c r="AM9" s="54">
        <v>2917.79315</v>
      </c>
      <c r="AN9" s="51">
        <v>788.58971699999995</v>
      </c>
      <c r="AO9" s="68">
        <f>AM9/IncidenceComplications!W6</f>
        <v>32.063660989010991</v>
      </c>
      <c r="AP9" s="68">
        <f>AN9/IncidenceComplications!W6</f>
        <v>8.6658210659340646</v>
      </c>
      <c r="AQ9" s="68">
        <v>26.275580000000001</v>
      </c>
      <c r="AR9" s="78">
        <v>14.527936800000001</v>
      </c>
    </row>
    <row r="10" spans="1:44" x14ac:dyDescent="0.25">
      <c r="A10" s="261"/>
      <c r="B10" s="5" t="s">
        <v>3</v>
      </c>
      <c r="C10" s="2">
        <v>1152</v>
      </c>
      <c r="D10" s="115">
        <v>477</v>
      </c>
      <c r="E10" s="2">
        <v>2571</v>
      </c>
      <c r="F10" s="115">
        <v>911</v>
      </c>
      <c r="G10" s="37">
        <f>E10/IncidenceComplications!$G7</f>
        <v>1.2652559055118111</v>
      </c>
      <c r="H10" s="37">
        <f>F10/IncidenceComplications!$G7</f>
        <v>0.44832677165354329</v>
      </c>
      <c r="I10" s="37">
        <v>1.6441153399999999</v>
      </c>
      <c r="J10" s="37">
        <v>1.0275798700000001</v>
      </c>
      <c r="K10" s="54">
        <v>25696.518199999999</v>
      </c>
      <c r="L10" s="51">
        <v>9586.3583299999991</v>
      </c>
      <c r="M10" s="68">
        <f>K10/IncidenceComplications!$G7</f>
        <v>12.645924311023622</v>
      </c>
      <c r="N10" s="68">
        <f>L10/IncidenceComplications!$G7</f>
        <v>4.7176960285433065</v>
      </c>
      <c r="O10" s="68">
        <v>17.8647204</v>
      </c>
      <c r="P10" s="78">
        <v>14.0636089</v>
      </c>
      <c r="Q10" s="2">
        <v>154</v>
      </c>
      <c r="R10" s="102">
        <v>154</v>
      </c>
      <c r="S10" s="115">
        <v>353</v>
      </c>
      <c r="T10" s="115">
        <v>97</v>
      </c>
      <c r="U10" s="37">
        <f>S10/IncidenceComplications!M7</f>
        <v>2.2922077922077921</v>
      </c>
      <c r="V10" s="37">
        <f>T10/IncidenceComplications!M7</f>
        <v>0.62987012987012991</v>
      </c>
      <c r="W10" s="37">
        <v>2.1079535800000002</v>
      </c>
      <c r="X10" s="37">
        <v>1.32325257</v>
      </c>
      <c r="Y10" s="54">
        <v>3660.2018499999999</v>
      </c>
      <c r="Z10" s="49">
        <v>1118.2199499999999</v>
      </c>
      <c r="AA10" s="69">
        <f>Y10/IncidenceComplications!M7</f>
        <v>23.767544480519479</v>
      </c>
      <c r="AB10" s="69">
        <f>Z10/IncidenceComplications!M7</f>
        <v>7.2611685064935063</v>
      </c>
      <c r="AC10" s="69">
        <v>25.0501556</v>
      </c>
      <c r="AD10" s="69">
        <v>26.061466800000002</v>
      </c>
      <c r="AE10" s="2">
        <v>120</v>
      </c>
      <c r="AF10" s="102">
        <v>120</v>
      </c>
      <c r="AG10" s="2">
        <v>236</v>
      </c>
      <c r="AH10" s="5">
        <v>62</v>
      </c>
      <c r="AI10" s="71">
        <f>AG10/IncidenceComplications!W7</f>
        <v>1.9666666666666666</v>
      </c>
      <c r="AJ10" s="71">
        <f>AH10/IncidenceComplications!W7</f>
        <v>0.51666666666666672</v>
      </c>
      <c r="AK10" s="71">
        <v>1.8007157</v>
      </c>
      <c r="AL10" s="71">
        <v>1.25680222</v>
      </c>
      <c r="AM10" s="54">
        <v>2812.6539699999998</v>
      </c>
      <c r="AN10" s="51">
        <v>598.714067</v>
      </c>
      <c r="AO10" s="68">
        <f>AM10/IncidenceComplications!W7</f>
        <v>23.43878308333333</v>
      </c>
      <c r="AP10" s="68">
        <f>AN10/IncidenceComplications!W7</f>
        <v>4.9892838916666671</v>
      </c>
      <c r="AQ10" s="68">
        <v>25.397205499999998</v>
      </c>
      <c r="AR10" s="78">
        <v>12.3168241</v>
      </c>
    </row>
    <row r="11" spans="1:44" x14ac:dyDescent="0.25">
      <c r="A11" s="261"/>
      <c r="B11" s="5" t="s">
        <v>4</v>
      </c>
      <c r="C11" s="2">
        <v>2993</v>
      </c>
      <c r="D11" s="115">
        <v>1574</v>
      </c>
      <c r="E11" s="2">
        <v>5199</v>
      </c>
      <c r="F11" s="115">
        <v>2447</v>
      </c>
      <c r="G11" s="37">
        <f>E11/IncidenceComplications!$G8</f>
        <v>0.78760793819118313</v>
      </c>
      <c r="H11" s="37">
        <f>F11/IncidenceComplications!$G8</f>
        <v>0.3707014088774428</v>
      </c>
      <c r="I11" s="37">
        <v>1.1851496699999999</v>
      </c>
      <c r="J11" s="37">
        <v>0.81164756000000005</v>
      </c>
      <c r="K11" s="54">
        <v>52914.138899999998</v>
      </c>
      <c r="L11" s="51">
        <v>23728.775300000001</v>
      </c>
      <c r="M11" s="68">
        <f>K11/IncidenceComplications!$G8</f>
        <v>8.0160792152704126</v>
      </c>
      <c r="N11" s="68">
        <f>L11/IncidenceComplications!$G8</f>
        <v>3.5947243296470233</v>
      </c>
      <c r="O11" s="68">
        <v>14.925146099999999</v>
      </c>
      <c r="P11" s="78">
        <v>9.9278798699999999</v>
      </c>
      <c r="Q11" s="2">
        <v>239</v>
      </c>
      <c r="R11" s="102">
        <v>239</v>
      </c>
      <c r="S11" s="115">
        <v>338</v>
      </c>
      <c r="T11" s="115">
        <v>90</v>
      </c>
      <c r="U11" s="37">
        <f>S11/IncidenceComplications!M8</f>
        <v>1.4142259414225942</v>
      </c>
      <c r="V11" s="37">
        <f>T11/IncidenceComplications!M8</f>
        <v>0.37656903765690375</v>
      </c>
      <c r="W11" s="37">
        <v>1.4580861599999999</v>
      </c>
      <c r="X11" s="37">
        <v>0.79944515000000005</v>
      </c>
      <c r="Y11" s="54">
        <v>3754.7528000000002</v>
      </c>
      <c r="Z11" s="49">
        <v>886.38840300000004</v>
      </c>
      <c r="AA11" s="69">
        <f>Y11/IncidenceComplications!M8</f>
        <v>15.710262761506277</v>
      </c>
      <c r="AB11" s="69">
        <f>Z11/IncidenceComplications!M8</f>
        <v>3.7087380878661089</v>
      </c>
      <c r="AC11" s="69">
        <v>21.1266371</v>
      </c>
      <c r="AD11" s="69">
        <v>9.4339350199999998</v>
      </c>
      <c r="AE11" s="2">
        <v>209</v>
      </c>
      <c r="AF11" s="102">
        <v>209</v>
      </c>
      <c r="AG11" s="2">
        <v>336</v>
      </c>
      <c r="AH11" s="5">
        <v>86</v>
      </c>
      <c r="AI11" s="71">
        <f>AG11/IncidenceComplications!W8</f>
        <v>1.6076555023923444</v>
      </c>
      <c r="AJ11" s="71">
        <f>AH11/IncidenceComplications!W8</f>
        <v>0.41148325358851673</v>
      </c>
      <c r="AK11" s="71">
        <v>1.7620843100000001</v>
      </c>
      <c r="AL11" s="71">
        <v>0.78020102999999996</v>
      </c>
      <c r="AM11" s="54">
        <v>4286.8627699999997</v>
      </c>
      <c r="AN11" s="51">
        <v>703.57836699999996</v>
      </c>
      <c r="AO11" s="68">
        <f>AM11/IncidenceComplications!W8</f>
        <v>20.511305119617223</v>
      </c>
      <c r="AP11" s="68">
        <f>AN11/IncidenceComplications!W8</f>
        <v>3.3664036698564592</v>
      </c>
      <c r="AQ11" s="68">
        <v>26.5148367</v>
      </c>
      <c r="AR11" s="78">
        <v>6.7773822600000004</v>
      </c>
    </row>
    <row r="12" spans="1:44" x14ac:dyDescent="0.25">
      <c r="A12" s="261"/>
      <c r="B12" s="5" t="s">
        <v>5</v>
      </c>
      <c r="C12" s="2">
        <v>5062</v>
      </c>
      <c r="D12" s="115">
        <v>2587</v>
      </c>
      <c r="E12" s="2">
        <v>9655</v>
      </c>
      <c r="F12" s="115">
        <v>4405</v>
      </c>
      <c r="G12" s="37">
        <f>E12/IncidenceComplications!$G9</f>
        <v>1.0186748259126397</v>
      </c>
      <c r="H12" s="37">
        <f>F12/IncidenceComplications!$G9</f>
        <v>0.46476049799535768</v>
      </c>
      <c r="I12" s="37">
        <v>1.39648236</v>
      </c>
      <c r="J12" s="37">
        <v>0.98815021999999997</v>
      </c>
      <c r="K12" s="54">
        <v>107460.791</v>
      </c>
      <c r="L12" s="51">
        <v>49383.683700000001</v>
      </c>
      <c r="M12" s="68">
        <f>K12/IncidenceComplications!$G9</f>
        <v>11.337918442709432</v>
      </c>
      <c r="N12" s="68">
        <f>L12/IncidenceComplications!$G9</f>
        <v>5.2103485650981218</v>
      </c>
      <c r="O12" s="68">
        <v>24.537552699999999</v>
      </c>
      <c r="P12" s="78">
        <v>18.527534500000002</v>
      </c>
      <c r="Q12" s="2">
        <v>299</v>
      </c>
      <c r="R12" s="102">
        <v>299</v>
      </c>
      <c r="S12" s="115">
        <v>557</v>
      </c>
      <c r="T12" s="115">
        <v>144</v>
      </c>
      <c r="U12" s="37">
        <f>S12/IncidenceComplications!M9</f>
        <v>1.8628762541806021</v>
      </c>
      <c r="V12" s="37">
        <f>T12/IncidenceComplications!M9</f>
        <v>0.48160535117056857</v>
      </c>
      <c r="W12" s="37">
        <v>1.9189779199999999</v>
      </c>
      <c r="X12" s="37">
        <v>1.0723004599999999</v>
      </c>
      <c r="Y12" s="54">
        <v>6861.8209200000001</v>
      </c>
      <c r="Z12" s="49">
        <v>1592.1047799999999</v>
      </c>
      <c r="AA12" s="69">
        <f>Y12/IncidenceComplications!M9</f>
        <v>22.949233846153845</v>
      </c>
      <c r="AB12" s="69">
        <f>Z12/IncidenceComplications!M9</f>
        <v>5.3247651505016718</v>
      </c>
      <c r="AC12" s="69">
        <v>40.521798599999997</v>
      </c>
      <c r="AD12" s="69">
        <v>16.894087500000001</v>
      </c>
      <c r="AE12" s="2">
        <v>412</v>
      </c>
      <c r="AF12" s="102">
        <v>412</v>
      </c>
      <c r="AG12" s="2">
        <v>718</v>
      </c>
      <c r="AH12" s="5">
        <v>189</v>
      </c>
      <c r="AI12" s="71">
        <f>AG12/IncidenceComplications!W9</f>
        <v>1.7427184466019416</v>
      </c>
      <c r="AJ12" s="71">
        <f>AH12/IncidenceComplications!W9</f>
        <v>0.45873786407766992</v>
      </c>
      <c r="AK12" s="71">
        <v>1.77213369</v>
      </c>
      <c r="AL12" s="71">
        <v>0.93368764000000004</v>
      </c>
      <c r="AM12" s="54">
        <v>9786.7611400000005</v>
      </c>
      <c r="AN12" s="51">
        <v>1745.7666099999999</v>
      </c>
      <c r="AO12" s="68">
        <f>AM12/IncidenceComplications!W9</f>
        <v>23.754274611650487</v>
      </c>
      <c r="AP12" s="68">
        <f>AN12/IncidenceComplications!W9</f>
        <v>4.2372975970873785</v>
      </c>
      <c r="AQ12" s="68">
        <v>39.324476099999998</v>
      </c>
      <c r="AR12" s="78">
        <v>9.6373942600000007</v>
      </c>
    </row>
    <row r="13" spans="1:44" x14ac:dyDescent="0.25">
      <c r="A13" s="261"/>
      <c r="B13" s="6" t="s">
        <v>6</v>
      </c>
      <c r="C13" s="8">
        <v>1414</v>
      </c>
      <c r="D13" s="53">
        <v>813</v>
      </c>
      <c r="E13" s="8">
        <v>2970</v>
      </c>
      <c r="F13" s="6">
        <v>1574</v>
      </c>
      <c r="G13" s="39">
        <f>E13/IncidenceComplications!$G10</f>
        <v>1.1980637353771681</v>
      </c>
      <c r="H13" s="39">
        <f>F13/IncidenceComplications!$G10</f>
        <v>0.63493344090359016</v>
      </c>
      <c r="I13" s="39">
        <v>1.6557857899999999</v>
      </c>
      <c r="J13" s="39">
        <v>1.21906677</v>
      </c>
      <c r="K13" s="55">
        <v>37219.944100000001</v>
      </c>
      <c r="L13" s="50">
        <v>19364.4656</v>
      </c>
      <c r="M13" s="75">
        <f>K13/IncidenceComplications!$G10</f>
        <v>15.014096046793062</v>
      </c>
      <c r="N13" s="75">
        <f>L13/IncidenceComplications!$G10</f>
        <v>7.8114020169423153</v>
      </c>
      <c r="O13" s="75">
        <v>32.114787499999998</v>
      </c>
      <c r="P13" s="79">
        <v>21.7767929</v>
      </c>
      <c r="Q13" s="2">
        <v>94</v>
      </c>
      <c r="R13" s="102">
        <v>94</v>
      </c>
      <c r="S13" s="8">
        <v>165</v>
      </c>
      <c r="T13" s="6">
        <v>70</v>
      </c>
      <c r="U13" s="39">
        <f>S13/IncidenceComplications!M10</f>
        <v>1.7553191489361701</v>
      </c>
      <c r="V13" s="39">
        <f>T13/IncidenceComplications!M10</f>
        <v>0.74468085106382975</v>
      </c>
      <c r="W13" s="39">
        <v>1.60433666</v>
      </c>
      <c r="X13" s="39">
        <v>1.35151186</v>
      </c>
      <c r="Y13" s="55">
        <v>1971.7848100000001</v>
      </c>
      <c r="Z13" s="50">
        <v>971.01287500000001</v>
      </c>
      <c r="AA13" s="75">
        <f>Y13/IncidenceComplications!M10</f>
        <v>20.976434148936171</v>
      </c>
      <c r="AB13" s="75">
        <f>Z13/IncidenceComplications!M10</f>
        <v>10.32992420212766</v>
      </c>
      <c r="AC13" s="75">
        <v>22.994098000000001</v>
      </c>
      <c r="AD13" s="75">
        <v>21.242855899999999</v>
      </c>
      <c r="AE13" s="2">
        <v>227</v>
      </c>
      <c r="AF13" s="102">
        <v>227</v>
      </c>
      <c r="AG13" s="8">
        <v>337</v>
      </c>
      <c r="AH13" s="6">
        <v>196</v>
      </c>
      <c r="AI13" s="39">
        <f>AG13/IncidenceComplications!W10</f>
        <v>1.4845814977973568</v>
      </c>
      <c r="AJ13" s="39">
        <f>AH13/IncidenceComplications!W10</f>
        <v>0.86343612334801767</v>
      </c>
      <c r="AK13" s="39">
        <v>1.7123911199999999</v>
      </c>
      <c r="AL13" s="39">
        <v>1.4885499900000001</v>
      </c>
      <c r="AM13" s="55">
        <v>4777.4953400000004</v>
      </c>
      <c r="AN13" s="50">
        <v>2133.4183699999999</v>
      </c>
      <c r="AO13" s="75">
        <f>AM13/IncidenceComplications!W10</f>
        <v>21.046234977973569</v>
      </c>
      <c r="AP13" s="75">
        <f>AN13/IncidenceComplications!W10</f>
        <v>9.398318810572686</v>
      </c>
      <c r="AQ13" s="75">
        <v>29.260241499999999</v>
      </c>
      <c r="AR13" s="79">
        <v>17.863317299999999</v>
      </c>
    </row>
    <row r="14" spans="1:44" ht="15.75" thickBot="1" x14ac:dyDescent="0.3">
      <c r="A14" s="262"/>
      <c r="B14" s="15" t="s">
        <v>14</v>
      </c>
      <c r="C14" s="66">
        <f>SUM(C7:C13)</f>
        <v>13268</v>
      </c>
      <c r="D14" s="99">
        <f>SUM(D7:D13)</f>
        <v>7258</v>
      </c>
      <c r="E14" s="16">
        <f>SUM(E7:E13)</f>
        <v>30079</v>
      </c>
      <c r="F14" s="17">
        <f>SUM(F7:F13)</f>
        <v>14945</v>
      </c>
      <c r="G14" s="40">
        <f>E14/IncidenceComplications!$G11</f>
        <v>1.2690490253987006</v>
      </c>
      <c r="H14" s="40">
        <f>F14/IncidenceComplications!$G11</f>
        <v>0.63053750738334313</v>
      </c>
      <c r="I14" s="40">
        <f t="array" ref="I14">SQRT(AVERAGE(I7:I13^2))</f>
        <v>2.1081594195595859</v>
      </c>
      <c r="J14" s="40">
        <f t="array" ref="J14">SQRT(AVERAGE(J7:J13^2))</f>
        <v>1.7113406881774975</v>
      </c>
      <c r="K14" s="74">
        <f>SUM(K7:K13)</f>
        <v>280587.19929000002</v>
      </c>
      <c r="L14" s="57">
        <f>SUM(L7:L13)</f>
        <v>136334.96222999998</v>
      </c>
      <c r="M14" s="77">
        <f>K14/IncidenceComplications!$G11</f>
        <v>11.83812333516159</v>
      </c>
      <c r="N14" s="77">
        <f>L14/IncidenceComplications!$G11</f>
        <v>5.752044647287148</v>
      </c>
      <c r="O14" s="77">
        <f t="array" ref="O14">SQRT(AVERAGE(O7:O13^2))</f>
        <v>21.501164731216303</v>
      </c>
      <c r="P14" s="80">
        <f t="array" ref="P14">SQRT(AVERAGE(P7:P13^2))</f>
        <v>16.421638459604356</v>
      </c>
      <c r="Q14" s="103">
        <f>SUM(Q7:Q13)</f>
        <v>1580</v>
      </c>
      <c r="R14" s="104">
        <f>SUM(R7:R13)</f>
        <v>1580</v>
      </c>
      <c r="S14" s="35">
        <f>SUM(S7:S13)</f>
        <v>5163</v>
      </c>
      <c r="T14" s="15">
        <f>SUM(T7:T13)</f>
        <v>2083</v>
      </c>
      <c r="U14" s="40">
        <f>S14/IncidenceComplications!M11</f>
        <v>3.2677215189873419</v>
      </c>
      <c r="V14" s="40">
        <f>T14/IncidenceComplications!M11</f>
        <v>1.3183544303797468</v>
      </c>
      <c r="W14" s="40">
        <f t="array" ref="W14">SQRT(AVERAGE(W7:W13^2))</f>
        <v>2.4475778137352084</v>
      </c>
      <c r="X14" s="40">
        <f t="array" ref="X14">SQRT(AVERAGE(X7:X13^2))</f>
        <v>1.7749137283636041</v>
      </c>
      <c r="Y14" s="74">
        <f>SUM(Y7:Y13)</f>
        <v>38585.684559999994</v>
      </c>
      <c r="Z14" s="57">
        <f>SUM(Z7:Z13)</f>
        <v>14733.230528</v>
      </c>
      <c r="AA14" s="77">
        <f>Y14/IncidenceComplications!M11</f>
        <v>24.421319341772147</v>
      </c>
      <c r="AB14" s="77">
        <f>Z14/IncidenceComplications!M11</f>
        <v>9.3248294481012657</v>
      </c>
      <c r="AC14" s="77">
        <f t="array" ref="AC14">SQRT(AVERAGE(AC7:AC13^2))</f>
        <v>26.101894479961061</v>
      </c>
      <c r="AD14" s="77">
        <f t="array" ref="AD14">SQRT(AVERAGE(AD7:AD13^2))</f>
        <v>18.10888104294413</v>
      </c>
      <c r="AE14" s="103">
        <f>SUM(AE7:AE13)</f>
        <v>1278</v>
      </c>
      <c r="AF14" s="104">
        <f>SUM(AF7:AF13)</f>
        <v>1278</v>
      </c>
      <c r="AG14" s="35">
        <f>SUM(AG7:AG13)</f>
        <v>3010</v>
      </c>
      <c r="AH14" s="15">
        <f>SUM(AH7:AH13)</f>
        <v>1201</v>
      </c>
      <c r="AI14" s="40">
        <f>AG14/IncidenceComplications!W11</f>
        <v>2.3552425665101722</v>
      </c>
      <c r="AJ14" s="40">
        <f>AH14/IncidenceComplications!W11</f>
        <v>0.93974960876369329</v>
      </c>
      <c r="AK14" s="40">
        <f t="array" ref="AK14">SQRT(AVERAGE(AK7:AK13^2))</f>
        <v>2.6064752351205738</v>
      </c>
      <c r="AL14" s="40">
        <f t="array" ref="AL14">SQRT(AVERAGE(AL7:AL13^2))</f>
        <v>1.7147124094380988</v>
      </c>
      <c r="AM14" s="74">
        <f>SUM(AM7:AM13)</f>
        <v>31175.45392</v>
      </c>
      <c r="AN14" s="57">
        <f>SUM(AN7:AN13)</f>
        <v>9027.1770879999985</v>
      </c>
      <c r="AO14" s="77">
        <f>AM14/IncidenceComplications!W11</f>
        <v>24.393938904538341</v>
      </c>
      <c r="AP14" s="77">
        <f>AN14/IncidenceComplications!W11</f>
        <v>7.063518848200312</v>
      </c>
      <c r="AQ14" s="77">
        <f t="array" ref="AQ14">SQRT(AVERAGE(AQ7:AQ13^2))</f>
        <v>28.166078226853084</v>
      </c>
      <c r="AR14" s="80">
        <f t="array" ref="AR14">SQRT(AVERAGE(AR7:AR13^2))</f>
        <v>14.904075404442484</v>
      </c>
    </row>
    <row r="15" spans="1:44" ht="15.75" thickTop="1" x14ac:dyDescent="0.25">
      <c r="A15" s="263">
        <v>2013</v>
      </c>
      <c r="B15" s="5" t="s">
        <v>0</v>
      </c>
      <c r="C15" s="2">
        <v>661</v>
      </c>
      <c r="D15" s="115">
        <v>515</v>
      </c>
      <c r="E15" s="2">
        <v>2988</v>
      </c>
      <c r="F15" s="115">
        <v>1764</v>
      </c>
      <c r="G15" s="37">
        <f>E15/IncidenceComplications!$G12</f>
        <v>4.0053619302949057</v>
      </c>
      <c r="H15" s="37">
        <f>F15/IncidenceComplications!$G12</f>
        <v>2.3646112600536191</v>
      </c>
      <c r="I15" s="37">
        <v>3.4286551200000002</v>
      </c>
      <c r="J15" s="37">
        <v>2.7088782</v>
      </c>
      <c r="K15" s="54">
        <v>12613.7284</v>
      </c>
      <c r="L15" s="51">
        <v>6751.0343999999996</v>
      </c>
      <c r="M15" s="68">
        <f>K15/IncidenceComplications!$G12</f>
        <v>16.908483109919572</v>
      </c>
      <c r="N15" s="68">
        <f>L15/IncidenceComplications!$G12</f>
        <v>9.049643967828418</v>
      </c>
      <c r="O15" s="68">
        <v>19.156188100000001</v>
      </c>
      <c r="P15" s="78">
        <v>13.7741864</v>
      </c>
      <c r="Q15" s="2">
        <v>208</v>
      </c>
      <c r="R15" s="102">
        <v>208</v>
      </c>
      <c r="S15" s="115">
        <v>1268</v>
      </c>
      <c r="T15" s="115">
        <v>573</v>
      </c>
      <c r="U15" s="37">
        <f>S15/IncidenceComplications!M12</f>
        <v>6.0961538461538458</v>
      </c>
      <c r="V15" s="37">
        <f>T15/IncidenceComplications!M12</f>
        <v>2.7548076923076925</v>
      </c>
      <c r="W15" s="37">
        <v>3.8107887300000001</v>
      </c>
      <c r="X15" s="37">
        <v>2.8980213099999999</v>
      </c>
      <c r="Y15" s="54">
        <v>5841.7133999999996</v>
      </c>
      <c r="Z15" s="49">
        <v>2269.1260000000002</v>
      </c>
      <c r="AA15" s="69">
        <f>Y15/IncidenceComplications!M12</f>
        <v>28.085160576923077</v>
      </c>
      <c r="AB15" s="69">
        <f>Z15/IncidenceComplications!M12</f>
        <v>10.909259615384617</v>
      </c>
      <c r="AC15" s="69">
        <v>23.263400300000001</v>
      </c>
      <c r="AD15" s="69">
        <v>16.577511399999999</v>
      </c>
      <c r="AE15" s="2">
        <v>101</v>
      </c>
      <c r="AF15" s="102">
        <v>101</v>
      </c>
      <c r="AG15" s="2">
        <v>546</v>
      </c>
      <c r="AH15" s="5">
        <v>238</v>
      </c>
      <c r="AI15" s="71">
        <f>AG15/IncidenceComplications!W12</f>
        <v>5.4059405940594063</v>
      </c>
      <c r="AJ15" s="71">
        <f>AH15/IncidenceComplications!W12</f>
        <v>2.3564356435643563</v>
      </c>
      <c r="AK15" s="71">
        <v>4.2288963500000003</v>
      </c>
      <c r="AL15" s="71">
        <v>2.60224579</v>
      </c>
      <c r="AM15" s="54">
        <v>2650.41336</v>
      </c>
      <c r="AN15" s="51">
        <v>924.59563200000002</v>
      </c>
      <c r="AO15" s="68">
        <f>AM15/IncidenceComplications!W12</f>
        <v>26.241716435643564</v>
      </c>
      <c r="AP15" s="68">
        <f>AN15/IncidenceComplications!W12</f>
        <v>9.1544121980198021</v>
      </c>
      <c r="AQ15" s="68">
        <v>24.635863199999999</v>
      </c>
      <c r="AR15" s="78">
        <v>13.3597926</v>
      </c>
    </row>
    <row r="16" spans="1:44" x14ac:dyDescent="0.25">
      <c r="A16" s="261"/>
      <c r="B16" s="5" t="s">
        <v>1</v>
      </c>
      <c r="C16" s="2">
        <v>3108</v>
      </c>
      <c r="D16" s="115">
        <v>2430</v>
      </c>
      <c r="E16" s="2">
        <v>13490</v>
      </c>
      <c r="F16" s="115">
        <v>8772</v>
      </c>
      <c r="G16" s="37">
        <f>E16/IncidenceComplications!$G13</f>
        <v>3.8876080691642652</v>
      </c>
      <c r="H16" s="37">
        <f>F16/IncidenceComplications!$G13</f>
        <v>2.5279538904899135</v>
      </c>
      <c r="I16" s="37">
        <v>3.05008481</v>
      </c>
      <c r="J16" s="37">
        <v>2.8415841199999998</v>
      </c>
      <c r="K16" s="54">
        <v>77022.361300000004</v>
      </c>
      <c r="L16" s="51">
        <v>49336.443700000003</v>
      </c>
      <c r="M16" s="68">
        <f>K16/IncidenceComplications!$G13</f>
        <v>22.196645907780979</v>
      </c>
      <c r="N16" s="68">
        <f>L16/IncidenceComplications!$G13</f>
        <v>14.217995302593661</v>
      </c>
      <c r="O16" s="68">
        <v>22.060733299999999</v>
      </c>
      <c r="P16" s="78">
        <v>18.850431400000002</v>
      </c>
      <c r="Q16" s="2">
        <v>1183</v>
      </c>
      <c r="R16" s="102">
        <v>1183</v>
      </c>
      <c r="S16" s="115">
        <v>5985</v>
      </c>
      <c r="T16" s="115">
        <v>3206</v>
      </c>
      <c r="U16" s="37">
        <f>S16/IncidenceComplications!M13</f>
        <v>5.059171597633136</v>
      </c>
      <c r="V16" s="37">
        <f>T16/IncidenceComplications!M13</f>
        <v>2.7100591715976332</v>
      </c>
      <c r="W16" s="37">
        <v>3.2623393200000002</v>
      </c>
      <c r="X16" s="37">
        <v>2.9143948599999998</v>
      </c>
      <c r="Y16" s="54">
        <v>35496.617299999998</v>
      </c>
      <c r="Z16" s="49">
        <v>17718.622100000001</v>
      </c>
      <c r="AA16" s="69">
        <f>Y16/IncidenceComplications!M13</f>
        <v>30.005593660185966</v>
      </c>
      <c r="AB16" s="69">
        <f>Z16/IncidenceComplications!M13</f>
        <v>14.977702535925614</v>
      </c>
      <c r="AC16" s="69">
        <v>22.2859047</v>
      </c>
      <c r="AD16" s="69">
        <v>19.198061800000001</v>
      </c>
      <c r="AE16" s="2">
        <v>406</v>
      </c>
      <c r="AF16" s="102">
        <v>406</v>
      </c>
      <c r="AG16" s="2">
        <v>2066</v>
      </c>
      <c r="AH16" s="5">
        <v>1175</v>
      </c>
      <c r="AI16" s="71">
        <f>AG16/IncidenceComplications!W13</f>
        <v>5.0886699507389164</v>
      </c>
      <c r="AJ16" s="71">
        <f>AH16/IncidenceComplications!W13</f>
        <v>2.8940886699507389</v>
      </c>
      <c r="AK16" s="71">
        <v>3.4220807600000001</v>
      </c>
      <c r="AL16" s="71">
        <v>3.1136679200000001</v>
      </c>
      <c r="AM16" s="54">
        <v>13223.9097</v>
      </c>
      <c r="AN16" s="51">
        <v>6568.0819600000004</v>
      </c>
      <c r="AO16" s="68">
        <f>AM16/IncidenceComplications!W13</f>
        <v>32.571206157635466</v>
      </c>
      <c r="AP16" s="68">
        <f>AN16/IncidenceComplications!W13</f>
        <v>16.177541773399017</v>
      </c>
      <c r="AQ16" s="68">
        <v>24.121569999999998</v>
      </c>
      <c r="AR16" s="78">
        <v>20.870896200000001</v>
      </c>
    </row>
    <row r="17" spans="1:44" x14ac:dyDescent="0.25">
      <c r="A17" s="261"/>
      <c r="B17" s="5" t="s">
        <v>2</v>
      </c>
      <c r="C17" s="2">
        <v>2467</v>
      </c>
      <c r="D17" s="115">
        <v>1426</v>
      </c>
      <c r="E17" s="2">
        <v>8073</v>
      </c>
      <c r="F17" s="115">
        <v>4053</v>
      </c>
      <c r="G17" s="37">
        <f>E17/IncidenceComplications!$G14</f>
        <v>2.7713697219361482</v>
      </c>
      <c r="H17" s="37">
        <f>F17/IncidenceComplications!$G14</f>
        <v>1.3913491246138001</v>
      </c>
      <c r="I17" s="37">
        <v>2.3938833100000001</v>
      </c>
      <c r="J17" s="37">
        <v>2.0518570700000001</v>
      </c>
      <c r="K17" s="54">
        <v>51180.144699999997</v>
      </c>
      <c r="L17" s="51">
        <v>32567.2703</v>
      </c>
      <c r="M17" s="68">
        <f>K17/IncidenceComplications!$G14</f>
        <v>17.569565636800547</v>
      </c>
      <c r="N17" s="68">
        <f>L17/IncidenceComplications!$G14</f>
        <v>11.179976072777206</v>
      </c>
      <c r="O17" s="68">
        <v>19.5738211</v>
      </c>
      <c r="P17" s="78">
        <v>93.1931297</v>
      </c>
      <c r="Q17" s="2">
        <v>460</v>
      </c>
      <c r="R17" s="102">
        <v>460</v>
      </c>
      <c r="S17" s="115">
        <v>1924</v>
      </c>
      <c r="T17" s="115">
        <v>697</v>
      </c>
      <c r="U17" s="37">
        <f>S17/IncidenceComplications!M14</f>
        <v>4.1826086956521742</v>
      </c>
      <c r="V17" s="37">
        <f>T17/IncidenceComplications!M14</f>
        <v>1.5152173913043478</v>
      </c>
      <c r="W17" s="37">
        <v>2.8934080600000001</v>
      </c>
      <c r="X17" s="37">
        <v>2.1434876200000001</v>
      </c>
      <c r="Y17" s="54">
        <v>12930.878000000001</v>
      </c>
      <c r="Z17" s="49">
        <v>4615.4192800000001</v>
      </c>
      <c r="AA17" s="69">
        <f>Y17/IncidenceComplications!M14</f>
        <v>28.110604347826087</v>
      </c>
      <c r="AB17" s="69">
        <f>Z17/IncidenceComplications!M14</f>
        <v>10.033520173913043</v>
      </c>
      <c r="AC17" s="69">
        <v>23.819613700000001</v>
      </c>
      <c r="AD17" s="69">
        <v>15.851406900000001</v>
      </c>
      <c r="AE17" s="2">
        <v>165</v>
      </c>
      <c r="AF17" s="102">
        <v>165</v>
      </c>
      <c r="AG17" s="2">
        <v>596</v>
      </c>
      <c r="AH17" s="5">
        <v>218</v>
      </c>
      <c r="AI17" s="71">
        <f>AG17/IncidenceComplications!W14</f>
        <v>3.6121212121212123</v>
      </c>
      <c r="AJ17" s="71">
        <f>AH17/IncidenceComplications!W14</f>
        <v>1.3212121212121213</v>
      </c>
      <c r="AK17" s="71">
        <v>2.9808082900000001</v>
      </c>
      <c r="AL17" s="71">
        <v>1.8837814799999999</v>
      </c>
      <c r="AM17" s="54">
        <v>4420.7020300000004</v>
      </c>
      <c r="AN17" s="51">
        <v>1458.9626499999999</v>
      </c>
      <c r="AO17" s="68">
        <f>AM17/IncidenceComplications!W14</f>
        <v>26.792133515151516</v>
      </c>
      <c r="AP17" s="68">
        <f>AN17/IncidenceComplications!W14</f>
        <v>8.8421978787878786</v>
      </c>
      <c r="AQ17" s="68">
        <v>26.139094199999999</v>
      </c>
      <c r="AR17" s="78">
        <v>15.469676</v>
      </c>
    </row>
    <row r="18" spans="1:44" x14ac:dyDescent="0.25">
      <c r="A18" s="261"/>
      <c r="B18" s="5" t="s">
        <v>3</v>
      </c>
      <c r="C18" s="2">
        <v>2901</v>
      </c>
      <c r="D18" s="115">
        <v>1308</v>
      </c>
      <c r="E18" s="2">
        <v>6979</v>
      </c>
      <c r="F18" s="115">
        <v>2818</v>
      </c>
      <c r="G18" s="37">
        <f>E18/IncidenceComplications!$G15</f>
        <v>1.4779754341380771</v>
      </c>
      <c r="H18" s="37">
        <f>F18/IncidenceComplications!$G15</f>
        <v>0.59678102498941121</v>
      </c>
      <c r="I18" s="37">
        <v>1.8327788899999999</v>
      </c>
      <c r="J18" s="37">
        <v>1.29475757</v>
      </c>
      <c r="K18" s="54">
        <v>69245.416700000002</v>
      </c>
      <c r="L18" s="51">
        <v>25531.988600000001</v>
      </c>
      <c r="M18" s="68">
        <f>K18/IncidenceComplications!$G15</f>
        <v>14.664425391783142</v>
      </c>
      <c r="N18" s="68">
        <f>L18/IncidenceComplications!$G15</f>
        <v>5.4070285048708175</v>
      </c>
      <c r="O18" s="68">
        <v>86.935748700000005</v>
      </c>
      <c r="P18" s="78">
        <v>12.088621</v>
      </c>
      <c r="Q18" s="2">
        <v>333</v>
      </c>
      <c r="R18" s="102">
        <v>333</v>
      </c>
      <c r="S18" s="115">
        <v>902</v>
      </c>
      <c r="T18" s="115">
        <v>230</v>
      </c>
      <c r="U18" s="37">
        <f>S18/IncidenceComplications!M15</f>
        <v>2.7087087087087087</v>
      </c>
      <c r="V18" s="37">
        <f>T18/IncidenceComplications!M15</f>
        <v>0.69069069069069067</v>
      </c>
      <c r="W18" s="37">
        <v>2.5897996999999999</v>
      </c>
      <c r="X18" s="37">
        <v>1.4961206300000001</v>
      </c>
      <c r="Y18" s="54">
        <v>8225.8403199999993</v>
      </c>
      <c r="Z18" s="49">
        <v>1952.10385</v>
      </c>
      <c r="AA18" s="69">
        <f>Y18/IncidenceComplications!M15</f>
        <v>24.702223183183182</v>
      </c>
      <c r="AB18" s="69">
        <f>Z18/IncidenceComplications!M15</f>
        <v>5.8621737237237239</v>
      </c>
      <c r="AC18" s="69">
        <v>23.294654699999999</v>
      </c>
      <c r="AD18" s="69">
        <v>11.941126000000001</v>
      </c>
      <c r="AE18" s="2">
        <v>178</v>
      </c>
      <c r="AF18" s="102">
        <v>178</v>
      </c>
      <c r="AG18" s="2">
        <v>462</v>
      </c>
      <c r="AH18" s="5">
        <v>126</v>
      </c>
      <c r="AI18" s="71">
        <f>AG18/IncidenceComplications!W15</f>
        <v>2.595505617977528</v>
      </c>
      <c r="AJ18" s="71">
        <f>AH18/IncidenceComplications!W15</f>
        <v>0.7078651685393258</v>
      </c>
      <c r="AK18" s="71">
        <v>2.2932921199999998</v>
      </c>
      <c r="AL18" s="71">
        <v>1.6135180899999999</v>
      </c>
      <c r="AM18" s="54">
        <v>5656.5452500000001</v>
      </c>
      <c r="AN18" s="51">
        <v>1175.5584200000001</v>
      </c>
      <c r="AO18" s="68">
        <f>AM18/IncidenceComplications!W15</f>
        <v>31.778344101123597</v>
      </c>
      <c r="AP18" s="68">
        <f>AN18/IncidenceComplications!W15</f>
        <v>6.6042607865168543</v>
      </c>
      <c r="AQ18" s="68">
        <v>60.579912100000001</v>
      </c>
      <c r="AR18" s="78">
        <v>15.560957500000001</v>
      </c>
    </row>
    <row r="19" spans="1:44" x14ac:dyDescent="0.25">
      <c r="A19" s="261"/>
      <c r="B19" s="5" t="s">
        <v>4</v>
      </c>
      <c r="C19" s="2">
        <v>5763</v>
      </c>
      <c r="D19" s="115">
        <v>3087</v>
      </c>
      <c r="E19" s="2">
        <v>10302</v>
      </c>
      <c r="F19" s="115">
        <v>4868</v>
      </c>
      <c r="G19" s="37">
        <f>E19/IncidenceComplications!$G16</f>
        <v>0.87164734749132755</v>
      </c>
      <c r="H19" s="37">
        <f>F19/IncidenceComplications!$G16</f>
        <v>0.41187917759539722</v>
      </c>
      <c r="I19" s="37">
        <v>1.22167654</v>
      </c>
      <c r="J19" s="37">
        <v>0.85141575999999997</v>
      </c>
      <c r="K19" s="54">
        <v>112358.997</v>
      </c>
      <c r="L19" s="51">
        <v>50004.723599999998</v>
      </c>
      <c r="M19" s="68">
        <f>K19/IncidenceComplications!$G16</f>
        <v>9.5066415940434901</v>
      </c>
      <c r="N19" s="68">
        <f>L19/IncidenceComplications!$G16</f>
        <v>4.2308760131990857</v>
      </c>
      <c r="O19" s="68">
        <v>23.8105692</v>
      </c>
      <c r="P19" s="78">
        <v>11.6096979</v>
      </c>
      <c r="Q19" s="2">
        <v>409</v>
      </c>
      <c r="R19" s="102">
        <v>409</v>
      </c>
      <c r="S19" s="115">
        <v>720</v>
      </c>
      <c r="T19" s="115">
        <v>195</v>
      </c>
      <c r="U19" s="37">
        <f>S19/IncidenceComplications!M16</f>
        <v>1.7603911980440097</v>
      </c>
      <c r="V19" s="37">
        <f>T19/IncidenceComplications!M16</f>
        <v>0.47677261613691929</v>
      </c>
      <c r="W19" s="37">
        <v>1.60919412</v>
      </c>
      <c r="X19" s="37">
        <v>0.85753486000000001</v>
      </c>
      <c r="Y19" s="54">
        <v>8038.8976400000001</v>
      </c>
      <c r="Z19" s="49">
        <v>2114.21299</v>
      </c>
      <c r="AA19" s="69">
        <f>Y19/IncidenceComplications!M16</f>
        <v>19.655006454767726</v>
      </c>
      <c r="AB19" s="69">
        <f>Z19/IncidenceComplications!M16</f>
        <v>5.1692249144254276</v>
      </c>
      <c r="AC19" s="69">
        <v>21.239452199999999</v>
      </c>
      <c r="AD19" s="69">
        <v>14.185897199999999</v>
      </c>
      <c r="AE19" s="2">
        <v>287</v>
      </c>
      <c r="AF19" s="102">
        <v>287</v>
      </c>
      <c r="AG19" s="2">
        <v>500</v>
      </c>
      <c r="AH19" s="5">
        <v>137</v>
      </c>
      <c r="AI19" s="71">
        <f>AG19/IncidenceComplications!W16</f>
        <v>1.7421602787456445</v>
      </c>
      <c r="AJ19" s="71">
        <f>AH19/IncidenceComplications!W16</f>
        <v>0.47735191637630664</v>
      </c>
      <c r="AK19" s="71">
        <v>2.1261934999999998</v>
      </c>
      <c r="AL19" s="71">
        <v>0.81421546</v>
      </c>
      <c r="AM19" s="54">
        <v>6742.3578600000001</v>
      </c>
      <c r="AN19" s="51">
        <v>2062.2517899999998</v>
      </c>
      <c r="AO19" s="68">
        <f>AM19/IncidenceComplications!W16</f>
        <v>23.492536097560976</v>
      </c>
      <c r="AP19" s="68">
        <f>AN19/IncidenceComplications!W16</f>
        <v>7.1855463066202088</v>
      </c>
      <c r="AQ19" s="68">
        <v>33.422938700000003</v>
      </c>
      <c r="AR19" s="78">
        <v>31.839454199999999</v>
      </c>
    </row>
    <row r="20" spans="1:44" x14ac:dyDescent="0.25">
      <c r="A20" s="261"/>
      <c r="B20" s="5" t="s">
        <v>5</v>
      </c>
      <c r="C20" s="2">
        <v>11791</v>
      </c>
      <c r="D20" s="115">
        <v>6587</v>
      </c>
      <c r="E20" s="2">
        <v>22972</v>
      </c>
      <c r="F20" s="115">
        <v>11728</v>
      </c>
      <c r="G20" s="37">
        <f>E20/IncidenceComplications!$G17</f>
        <v>1.1007714792275625</v>
      </c>
      <c r="H20" s="37">
        <f>F20/IncidenceComplications!$G17</f>
        <v>0.56198188700943985</v>
      </c>
      <c r="I20" s="37">
        <v>1.4360877299999999</v>
      </c>
      <c r="J20" s="37">
        <v>1.10783097</v>
      </c>
      <c r="K20" s="54">
        <v>262433.462</v>
      </c>
      <c r="L20" s="51">
        <v>133649.74600000001</v>
      </c>
      <c r="M20" s="68">
        <f>K20/IncidenceComplications!$G17</f>
        <v>12.575277301260243</v>
      </c>
      <c r="N20" s="68">
        <f>L20/IncidenceComplications!$G17</f>
        <v>6.4042237768939581</v>
      </c>
      <c r="O20" s="68">
        <v>25.6860128</v>
      </c>
      <c r="P20" s="78">
        <v>23.8829058</v>
      </c>
      <c r="Q20" s="2">
        <v>600</v>
      </c>
      <c r="R20" s="102">
        <v>600</v>
      </c>
      <c r="S20" s="115">
        <v>1068</v>
      </c>
      <c r="T20" s="115">
        <v>355</v>
      </c>
      <c r="U20" s="37">
        <f>S20/IncidenceComplications!M17</f>
        <v>1.78</v>
      </c>
      <c r="V20" s="37">
        <f>T20/IncidenceComplications!M17</f>
        <v>0.59166666666666667</v>
      </c>
      <c r="W20" s="37">
        <v>1.7397253800000001</v>
      </c>
      <c r="X20" s="37">
        <v>1.1549113600000001</v>
      </c>
      <c r="Y20" s="54">
        <v>12573.8457</v>
      </c>
      <c r="Z20" s="49">
        <v>4348.21126</v>
      </c>
      <c r="AA20" s="69">
        <f>Y20/IncidenceComplications!M17</f>
        <v>20.956409499999999</v>
      </c>
      <c r="AB20" s="69">
        <f>Z20/IncidenceComplications!M17</f>
        <v>7.2470187666666668</v>
      </c>
      <c r="AC20" s="69">
        <v>23.829652800000002</v>
      </c>
      <c r="AD20" s="69">
        <v>25.9934257</v>
      </c>
      <c r="AE20" s="2">
        <v>887</v>
      </c>
      <c r="AF20" s="102">
        <v>887</v>
      </c>
      <c r="AG20" s="2">
        <v>1737</v>
      </c>
      <c r="AH20" s="5">
        <v>525</v>
      </c>
      <c r="AI20" s="71">
        <f>AG20/IncidenceComplications!W17</f>
        <v>1.9582863585118377</v>
      </c>
      <c r="AJ20" s="71">
        <f>AH20/IncidenceComplications!W17</f>
        <v>0.59188275084554676</v>
      </c>
      <c r="AK20" s="71">
        <v>2.0598978099999998</v>
      </c>
      <c r="AL20" s="71">
        <v>1.05399463</v>
      </c>
      <c r="AM20" s="54">
        <v>23154.4401</v>
      </c>
      <c r="AN20" s="51">
        <v>6213.18696</v>
      </c>
      <c r="AO20" s="68">
        <f>AM20/IncidenceComplications!W17</f>
        <v>26.104216572717025</v>
      </c>
      <c r="AP20" s="68">
        <f>AN20/IncidenceComplications!W17</f>
        <v>7.0047203607666289</v>
      </c>
      <c r="AQ20" s="68">
        <v>34.503539600000003</v>
      </c>
      <c r="AR20" s="78">
        <v>20.574164700000001</v>
      </c>
    </row>
    <row r="21" spans="1:44" x14ac:dyDescent="0.25">
      <c r="A21" s="261"/>
      <c r="B21" s="6" t="s">
        <v>6</v>
      </c>
      <c r="C21" s="8">
        <v>2665</v>
      </c>
      <c r="D21" s="53">
        <v>1492</v>
      </c>
      <c r="E21" s="8">
        <v>6010</v>
      </c>
      <c r="F21" s="6">
        <v>3020</v>
      </c>
      <c r="G21" s="39">
        <f>E21/IncidenceComplications!$G18</f>
        <v>1.4151165528608429</v>
      </c>
      <c r="H21" s="39">
        <f>F21/IncidenceComplications!$G18</f>
        <v>0.71109018130445023</v>
      </c>
      <c r="I21" s="39">
        <v>1.7809340899999999</v>
      </c>
      <c r="J21" s="39">
        <v>1.37935348</v>
      </c>
      <c r="K21" s="55">
        <v>74407.418799999999</v>
      </c>
      <c r="L21" s="50">
        <v>37811.351499999997</v>
      </c>
      <c r="M21" s="75">
        <f>K21/IncidenceComplications!$G18</f>
        <v>17.519995008241111</v>
      </c>
      <c r="N21" s="75">
        <f>L21/IncidenceComplications!$G18</f>
        <v>8.903073110430892</v>
      </c>
      <c r="O21" s="75">
        <v>31.028516799999998</v>
      </c>
      <c r="P21" s="79">
        <v>28.7577423</v>
      </c>
      <c r="Q21" s="2">
        <v>128</v>
      </c>
      <c r="R21" s="102">
        <v>128</v>
      </c>
      <c r="S21" s="8">
        <v>244</v>
      </c>
      <c r="T21" s="6">
        <v>92</v>
      </c>
      <c r="U21" s="39">
        <f>S21/IncidenceComplications!M18</f>
        <v>1.90625</v>
      </c>
      <c r="V21" s="39">
        <f>T21/IncidenceComplications!M18</f>
        <v>0.71875</v>
      </c>
      <c r="W21" s="39">
        <v>1.9049769000000001</v>
      </c>
      <c r="X21" s="39">
        <v>1.3217591500000001</v>
      </c>
      <c r="Y21" s="55">
        <v>3045.1027899999999</v>
      </c>
      <c r="Z21" s="50">
        <v>1091.86168</v>
      </c>
      <c r="AA21" s="75">
        <f>Y21/IncidenceComplications!M18</f>
        <v>23.789865546874999</v>
      </c>
      <c r="AB21" s="75">
        <f>Z21/IncidenceComplications!M18</f>
        <v>8.5301693749999998</v>
      </c>
      <c r="AC21" s="75">
        <v>33.573001499999997</v>
      </c>
      <c r="AD21" s="75">
        <v>20.801983499999999</v>
      </c>
      <c r="AE21" s="2">
        <v>363</v>
      </c>
      <c r="AF21" s="102">
        <v>363</v>
      </c>
      <c r="AG21" s="8">
        <v>746</v>
      </c>
      <c r="AH21" s="6">
        <v>244</v>
      </c>
      <c r="AI21" s="39">
        <f>AG21/IncidenceComplications!W18</f>
        <v>2.0550964187327825</v>
      </c>
      <c r="AJ21" s="39">
        <f>AH21/IncidenceComplications!W18</f>
        <v>0.67217630853994492</v>
      </c>
      <c r="AK21" s="39">
        <v>2.2758023700000001</v>
      </c>
      <c r="AL21" s="39">
        <v>1.4142028</v>
      </c>
      <c r="AM21" s="55">
        <v>10217.9249</v>
      </c>
      <c r="AN21" s="50">
        <v>2950.0432099999998</v>
      </c>
      <c r="AO21" s="75">
        <f>AM21/IncidenceComplications!W18</f>
        <v>28.148553443526172</v>
      </c>
      <c r="AP21" s="75">
        <f>AN21/IncidenceComplications!W18</f>
        <v>8.1268407988980709</v>
      </c>
      <c r="AQ21" s="75">
        <v>38.637049599999997</v>
      </c>
      <c r="AR21" s="79">
        <v>19.493934299999999</v>
      </c>
    </row>
    <row r="22" spans="1:44" ht="15.75" thickBot="1" x14ac:dyDescent="0.3">
      <c r="A22" s="262"/>
      <c r="B22" s="15" t="s">
        <v>14</v>
      </c>
      <c r="C22" s="66">
        <f>SUM(C15:C21)</f>
        <v>29356</v>
      </c>
      <c r="D22" s="99">
        <f>SUM(D15:D21)</f>
        <v>16845</v>
      </c>
      <c r="E22" s="16">
        <f>SUM(E15:E21)</f>
        <v>70814</v>
      </c>
      <c r="F22" s="17">
        <f>SUM(F15:F21)</f>
        <v>37023</v>
      </c>
      <c r="G22" s="40">
        <f>E22/IncidenceComplications!$G19</f>
        <v>1.4515229779034968</v>
      </c>
      <c r="H22" s="40">
        <f>F22/IncidenceComplications!$G19</f>
        <v>0.75888574591071212</v>
      </c>
      <c r="I22" s="40">
        <f t="array" ref="I22">SQRT(AVERAGE(I15:I21^2))</f>
        <v>2.295181810762593</v>
      </c>
      <c r="J22" s="40">
        <f t="array" ref="J22">SQRT(AVERAGE(J15:J21^2))</f>
        <v>1.8956322085825288</v>
      </c>
      <c r="K22" s="74">
        <f>SUM(K15:K21)</f>
        <v>659261.52889999992</v>
      </c>
      <c r="L22" s="57">
        <f>SUM(L15:L21)</f>
        <v>335652.55810000002</v>
      </c>
      <c r="M22" s="77">
        <f>K22/IncidenceComplications!$G19</f>
        <v>13.513334335670068</v>
      </c>
      <c r="N22" s="77">
        <f>L22/IncidenceComplications!$G19</f>
        <v>6.8800999897511588</v>
      </c>
      <c r="O22" s="77">
        <f t="array" ref="O22">SQRT(AVERAGE(O15:O21^2))</f>
        <v>39.612547948378868</v>
      </c>
      <c r="P22" s="80">
        <f t="array" ref="P22">SQRT(AVERAGE(P15:P21^2))</f>
        <v>39.475755982781671</v>
      </c>
      <c r="Q22" s="103">
        <f>SUM(Q15:Q21)</f>
        <v>3321</v>
      </c>
      <c r="R22" s="104">
        <f>SUM(R15:R21)</f>
        <v>3321</v>
      </c>
      <c r="S22" s="35">
        <f>SUM(S15:S21)</f>
        <v>12111</v>
      </c>
      <c r="T22" s="15">
        <f>SUM(T15:T21)</f>
        <v>5348</v>
      </c>
      <c r="U22" s="40">
        <f>S22/IncidenceComplications!M19</f>
        <v>3.6467931345980125</v>
      </c>
      <c r="V22" s="40">
        <f>T22/IncidenceComplications!M19</f>
        <v>1.6103583258054803</v>
      </c>
      <c r="W22" s="40">
        <f t="array" ref="W22">SQRT(AVERAGE(W15:W21^2))</f>
        <v>2.6589183723165775</v>
      </c>
      <c r="X22" s="40">
        <f t="array" ref="X22">SQRT(AVERAGE(X15:X21^2))</f>
        <v>1.9835528933850846</v>
      </c>
      <c r="Y22" s="74">
        <f>SUM(Y15:Y21)</f>
        <v>86152.895150000011</v>
      </c>
      <c r="Z22" s="57">
        <f>SUM(Z15:Z21)</f>
        <v>34109.557159999997</v>
      </c>
      <c r="AA22" s="77">
        <f>Y22/IncidenceComplications!M19</f>
        <v>25.941853402589583</v>
      </c>
      <c r="AB22" s="77">
        <f>Z22/IncidenceComplications!M19</f>
        <v>10.270869364649201</v>
      </c>
      <c r="AC22" s="77">
        <f t="array" ref="AC22">SQRT(AVERAGE(AC15:AC21^2))</f>
        <v>24.767419233076044</v>
      </c>
      <c r="AD22" s="77">
        <f t="array" ref="AD22">SQRT(AVERAGE(AD15:AD21^2))</f>
        <v>18.310252508501712</v>
      </c>
      <c r="AE22" s="103">
        <f>SUM(AE15:AE21)</f>
        <v>2387</v>
      </c>
      <c r="AF22" s="104">
        <f>SUM(AF15:AF21)</f>
        <v>2387</v>
      </c>
      <c r="AG22" s="35">
        <f>SUM(AG15:AG21)</f>
        <v>6653</v>
      </c>
      <c r="AH22" s="15">
        <f>SUM(AH15:AH21)</f>
        <v>2663</v>
      </c>
      <c r="AI22" s="40">
        <f>AG22/IncidenceComplications!W19</f>
        <v>2.7871805613741096</v>
      </c>
      <c r="AJ22" s="40">
        <f>AH22/IncidenceComplications!W19</f>
        <v>1.1156263091746963</v>
      </c>
      <c r="AK22" s="40">
        <f t="array" ref="AK22">SQRT(AVERAGE(AK15:AK21^2))</f>
        <v>2.8705838652186366</v>
      </c>
      <c r="AL22" s="40">
        <f t="array" ref="AL22">SQRT(AVERAGE(AL15:AL21^2))</f>
        <v>1.9417409498274547</v>
      </c>
      <c r="AM22" s="74">
        <f>SUM(AM15:AM21)</f>
        <v>66066.2932</v>
      </c>
      <c r="AN22" s="57">
        <f>SUM(AN15:AN21)</f>
        <v>21352.680622</v>
      </c>
      <c r="AO22" s="77">
        <f>AM22/IncidenceComplications!W19</f>
        <v>27.677542186845411</v>
      </c>
      <c r="AP22" s="77">
        <f>AN22/IncidenceComplications!W19</f>
        <v>8.9454045337243393</v>
      </c>
      <c r="AQ22" s="77">
        <f t="array" ref="AQ22">SQRT(AVERAGE(AQ15:AQ21^2))</f>
        <v>36.532495453812473</v>
      </c>
      <c r="AR22" s="80">
        <f t="array" ref="AR22">SQRT(AVERAGE(AR15:AR21^2))</f>
        <v>20.398155419817854</v>
      </c>
    </row>
    <row r="23" spans="1:44" ht="15.75" thickTop="1" x14ac:dyDescent="0.25">
      <c r="A23" s="263">
        <v>2014</v>
      </c>
      <c r="B23" s="5" t="s">
        <v>0</v>
      </c>
      <c r="C23" s="2">
        <v>416</v>
      </c>
      <c r="D23" s="115">
        <v>296</v>
      </c>
      <c r="E23" s="2">
        <v>1645</v>
      </c>
      <c r="F23" s="115">
        <v>875</v>
      </c>
      <c r="G23" s="37">
        <f>E23/IncidenceComplications!$G20</f>
        <v>3.4925690021231421</v>
      </c>
      <c r="H23" s="37">
        <f>F23/IncidenceComplications!$G20</f>
        <v>1.8577494692144374</v>
      </c>
      <c r="I23" s="37">
        <v>2.9455064900000001</v>
      </c>
      <c r="J23" s="37">
        <v>2.41602329</v>
      </c>
      <c r="K23" s="54">
        <v>7107.17</v>
      </c>
      <c r="L23" s="51">
        <v>3527.08</v>
      </c>
      <c r="M23" s="68">
        <f>K23/IncidenceComplications!$G20</f>
        <v>15.089532908704884</v>
      </c>
      <c r="N23" s="68">
        <f>L23/IncidenceComplications!$G20</f>
        <v>7.4884925690021227</v>
      </c>
      <c r="O23" s="68">
        <v>15.772353000000001</v>
      </c>
      <c r="P23" s="78">
        <v>12.3717282</v>
      </c>
      <c r="Q23" s="2">
        <v>147</v>
      </c>
      <c r="R23" s="102">
        <v>147</v>
      </c>
      <c r="S23" s="115">
        <v>730</v>
      </c>
      <c r="T23" s="115">
        <v>267</v>
      </c>
      <c r="U23" s="37">
        <f>S23/IncidenceComplications!M20</f>
        <v>4.9659863945578229</v>
      </c>
      <c r="V23" s="37">
        <f>T23/IncidenceComplications!M20</f>
        <v>1.8163265306122449</v>
      </c>
      <c r="W23" s="37">
        <v>3.1997751800000001</v>
      </c>
      <c r="X23" s="37">
        <v>2.3467272700000001</v>
      </c>
      <c r="Y23" s="54">
        <v>3613.48</v>
      </c>
      <c r="Z23" s="49">
        <v>1135.7</v>
      </c>
      <c r="AA23" s="69">
        <f>Y23/IncidenceComplications!M20</f>
        <v>24.581496598639458</v>
      </c>
      <c r="AB23" s="69">
        <f>Z23/IncidenceComplications!M20</f>
        <v>7.7258503401360548</v>
      </c>
      <c r="AC23" s="69">
        <v>19.3113031</v>
      </c>
      <c r="AD23" s="69">
        <v>13.623385600000001</v>
      </c>
      <c r="AE23" s="2">
        <v>51</v>
      </c>
      <c r="AF23" s="102">
        <v>51</v>
      </c>
      <c r="AG23" s="2">
        <v>233</v>
      </c>
      <c r="AH23" s="5">
        <v>96</v>
      </c>
      <c r="AI23" s="71">
        <f>AG23/IncidenceComplications!W20</f>
        <v>4.5686274509803919</v>
      </c>
      <c r="AJ23" s="71">
        <f>AH23/IncidenceComplications!W20</f>
        <v>1.8823529411764706</v>
      </c>
      <c r="AK23" s="71">
        <v>3.3719721300000001</v>
      </c>
      <c r="AL23" s="71">
        <v>2.0942498299999999</v>
      </c>
      <c r="AM23" s="54">
        <v>1198.49</v>
      </c>
      <c r="AN23" s="51">
        <v>316.52</v>
      </c>
      <c r="AO23" s="68">
        <f>AM23/IncidenceComplications!W20</f>
        <v>23.499803921568628</v>
      </c>
      <c r="AP23" s="68">
        <f>AN23/IncidenceComplications!W20</f>
        <v>6.2062745098039214</v>
      </c>
      <c r="AQ23" s="68">
        <v>19.180532800000002</v>
      </c>
      <c r="AR23" s="78">
        <v>10.84887</v>
      </c>
    </row>
    <row r="24" spans="1:44" x14ac:dyDescent="0.25">
      <c r="A24" s="261"/>
      <c r="B24" s="5" t="s">
        <v>1</v>
      </c>
      <c r="C24" s="2">
        <v>1132</v>
      </c>
      <c r="D24" s="115">
        <v>804</v>
      </c>
      <c r="E24" s="2">
        <v>4531</v>
      </c>
      <c r="F24" s="115">
        <v>2623</v>
      </c>
      <c r="G24" s="37">
        <f>E24/IncidenceComplications!$G21</f>
        <v>3.4325757575757576</v>
      </c>
      <c r="H24" s="37">
        <f>F24/IncidenceComplications!$G21</f>
        <v>1.9871212121212121</v>
      </c>
      <c r="I24" s="37">
        <v>2.9823843700000001</v>
      </c>
      <c r="J24" s="37">
        <v>2.46503695</v>
      </c>
      <c r="K24" s="54">
        <v>26726.91</v>
      </c>
      <c r="L24" s="51">
        <v>15920.3</v>
      </c>
      <c r="M24" s="68">
        <f>K24/IncidenceComplications!$G21</f>
        <v>20.247659090909092</v>
      </c>
      <c r="N24" s="68">
        <f>L24/IncidenceComplications!$G21</f>
        <v>12.060833333333333</v>
      </c>
      <c r="O24" s="68">
        <v>20.8536742</v>
      </c>
      <c r="P24" s="78">
        <v>17.365221500000001</v>
      </c>
      <c r="Q24" s="2">
        <v>445</v>
      </c>
      <c r="R24" s="102">
        <v>445</v>
      </c>
      <c r="S24" s="115">
        <v>2057</v>
      </c>
      <c r="T24" s="115">
        <v>941</v>
      </c>
      <c r="U24" s="37">
        <f>S24/IncidenceComplications!M21</f>
        <v>4.6224719101123597</v>
      </c>
      <c r="V24" s="37">
        <f>T24/IncidenceComplications!M21</f>
        <v>2.1146067415730339</v>
      </c>
      <c r="W24" s="37">
        <v>3.2648052500000002</v>
      </c>
      <c r="X24" s="37">
        <v>2.6231621899999999</v>
      </c>
      <c r="Y24" s="54">
        <v>12732.14</v>
      </c>
      <c r="Z24" s="49">
        <v>5601.11</v>
      </c>
      <c r="AA24" s="69">
        <f>Y24/IncidenceComplications!M21</f>
        <v>28.611550561797753</v>
      </c>
      <c r="AB24" s="69">
        <f>Z24/IncidenceComplications!M21</f>
        <v>12.58676404494382</v>
      </c>
      <c r="AC24" s="69">
        <v>23.583224399999999</v>
      </c>
      <c r="AD24" s="69">
        <v>17.736056900000001</v>
      </c>
      <c r="AE24" s="2">
        <v>162</v>
      </c>
      <c r="AF24" s="102">
        <v>162</v>
      </c>
      <c r="AG24" s="2">
        <v>736</v>
      </c>
      <c r="AH24" s="5">
        <v>393</v>
      </c>
      <c r="AI24" s="71">
        <f>AG24/IncidenceComplications!W21</f>
        <v>4.5432098765432096</v>
      </c>
      <c r="AJ24" s="71">
        <f>AH24/IncidenceComplications!W21</f>
        <v>2.425925925925926</v>
      </c>
      <c r="AK24" s="71">
        <v>3.69168743</v>
      </c>
      <c r="AL24" s="71">
        <v>2.8845391199999999</v>
      </c>
      <c r="AM24" s="54">
        <v>5101.37</v>
      </c>
      <c r="AN24" s="51">
        <v>2503.2800000000002</v>
      </c>
      <c r="AO24" s="68">
        <f>AM24/IncidenceComplications!W21</f>
        <v>31.489938271604938</v>
      </c>
      <c r="AP24" s="68">
        <f>AN24/IncidenceComplications!W21</f>
        <v>15.452345679012346</v>
      </c>
      <c r="AQ24" s="68">
        <v>28.578136700000002</v>
      </c>
      <c r="AR24" s="78">
        <v>21.254813599999999</v>
      </c>
    </row>
    <row r="25" spans="1:44" x14ac:dyDescent="0.25">
      <c r="A25" s="261"/>
      <c r="B25" s="5" t="s">
        <v>2</v>
      </c>
      <c r="C25" s="2">
        <v>682</v>
      </c>
      <c r="D25" s="115">
        <v>339</v>
      </c>
      <c r="E25" s="2">
        <v>2000</v>
      </c>
      <c r="F25" s="115">
        <v>855</v>
      </c>
      <c r="G25" s="37">
        <f>E25/IncidenceComplications!$G22</f>
        <v>2.3668639053254439</v>
      </c>
      <c r="H25" s="37">
        <f>F25/IncidenceComplications!$G22</f>
        <v>1.0118343195266273</v>
      </c>
      <c r="I25" s="37">
        <v>2.24354582</v>
      </c>
      <c r="J25" s="37">
        <v>1.60045967</v>
      </c>
      <c r="K25" s="54">
        <v>13071.3</v>
      </c>
      <c r="L25" s="51">
        <v>5987.39</v>
      </c>
      <c r="M25" s="68">
        <f>K25/IncidenceComplications!$G22</f>
        <v>15.468994082840236</v>
      </c>
      <c r="N25" s="68">
        <f>L25/IncidenceComplications!$G22</f>
        <v>7.0856686390532548</v>
      </c>
      <c r="O25" s="68">
        <v>18.872255899999999</v>
      </c>
      <c r="P25" s="78">
        <v>13.2912689</v>
      </c>
      <c r="Q25" s="2">
        <v>150</v>
      </c>
      <c r="R25" s="102">
        <v>150</v>
      </c>
      <c r="S25" s="115">
        <v>477</v>
      </c>
      <c r="T25" s="115">
        <v>145</v>
      </c>
      <c r="U25" s="37">
        <f>S25/IncidenceComplications!M22</f>
        <v>3.18</v>
      </c>
      <c r="V25" s="37">
        <f>T25/IncidenceComplications!M22</f>
        <v>0.96666666666666667</v>
      </c>
      <c r="W25" s="37">
        <v>2.6699169199999999</v>
      </c>
      <c r="X25" s="37">
        <v>1.5124390999999999</v>
      </c>
      <c r="Y25" s="54">
        <v>3182.17</v>
      </c>
      <c r="Z25" s="49">
        <v>1069.53</v>
      </c>
      <c r="AA25" s="69">
        <f>Y25/IncidenceComplications!M22</f>
        <v>21.214466666666667</v>
      </c>
      <c r="AB25" s="69">
        <f>Z25/IncidenceComplications!M22</f>
        <v>7.1301999999999994</v>
      </c>
      <c r="AC25" s="69">
        <v>22.3311651</v>
      </c>
      <c r="AD25" s="69">
        <v>12.2889678</v>
      </c>
      <c r="AE25" s="2">
        <v>68</v>
      </c>
      <c r="AF25" s="102">
        <v>68</v>
      </c>
      <c r="AG25" s="2">
        <v>239</v>
      </c>
      <c r="AH25" s="5">
        <v>68</v>
      </c>
      <c r="AI25" s="71">
        <f>AG25/IncidenceComplications!W22</f>
        <v>3.5147058823529411</v>
      </c>
      <c r="AJ25" s="71">
        <f>AH25/IncidenceComplications!W22</f>
        <v>1</v>
      </c>
      <c r="AK25" s="71">
        <v>3.5638845400000001</v>
      </c>
      <c r="AL25" s="71">
        <v>1.4247283100000001</v>
      </c>
      <c r="AM25" s="54">
        <v>1978.82</v>
      </c>
      <c r="AN25" s="51">
        <v>600.96</v>
      </c>
      <c r="AO25" s="68">
        <f>AM25/IncidenceComplications!W22</f>
        <v>29.100294117647056</v>
      </c>
      <c r="AP25" s="68">
        <f>AN25/IncidenceComplications!W22</f>
        <v>8.8376470588235296</v>
      </c>
      <c r="AQ25" s="68">
        <v>35.113339099999997</v>
      </c>
      <c r="AR25" s="78">
        <v>15.6914699</v>
      </c>
    </row>
    <row r="26" spans="1:44" x14ac:dyDescent="0.25">
      <c r="A26" s="261"/>
      <c r="B26" s="5" t="s">
        <v>3</v>
      </c>
      <c r="C26" s="2">
        <v>868</v>
      </c>
      <c r="D26" s="115">
        <v>356</v>
      </c>
      <c r="E26" s="2">
        <v>1904</v>
      </c>
      <c r="F26" s="115">
        <v>674</v>
      </c>
      <c r="G26" s="37">
        <f>E26/IncidenceComplications!$G23</f>
        <v>1.1532404603270745</v>
      </c>
      <c r="H26" s="37">
        <f>F26/IncidenceComplications!$G23</f>
        <v>0.40823743185947908</v>
      </c>
      <c r="I26" s="37">
        <v>1.5519743399999999</v>
      </c>
      <c r="J26" s="37">
        <v>1.0336308400000001</v>
      </c>
      <c r="K26" s="54">
        <v>18879.599999999999</v>
      </c>
      <c r="L26" s="51">
        <v>7110.62</v>
      </c>
      <c r="M26" s="68">
        <f>K26/IncidenceComplications!$G23</f>
        <v>11.435251362810417</v>
      </c>
      <c r="N26" s="68">
        <f>L26/IncidenceComplications!$G23</f>
        <v>4.3068564506359781</v>
      </c>
      <c r="O26" s="68">
        <v>16.6566562</v>
      </c>
      <c r="P26" s="78">
        <v>11.8205618</v>
      </c>
      <c r="Q26" s="2">
        <v>122</v>
      </c>
      <c r="R26" s="102">
        <v>122</v>
      </c>
      <c r="S26" s="115">
        <v>257</v>
      </c>
      <c r="T26" s="115">
        <v>77</v>
      </c>
      <c r="U26" s="37">
        <f>S26/IncidenceComplications!M23</f>
        <v>2.1065573770491803</v>
      </c>
      <c r="V26" s="37">
        <f>T26/IncidenceComplications!M23</f>
        <v>0.63114754098360659</v>
      </c>
      <c r="W26" s="37">
        <v>2.3170492</v>
      </c>
      <c r="X26" s="37">
        <v>1.4153866399999999</v>
      </c>
      <c r="Y26" s="54">
        <v>2751.32</v>
      </c>
      <c r="Z26" s="49">
        <v>594.35</v>
      </c>
      <c r="AA26" s="69">
        <f>Y26/IncidenceComplications!M23</f>
        <v>22.551803278688524</v>
      </c>
      <c r="AB26" s="69">
        <f>Z26/IncidenceComplications!M23</f>
        <v>4.8717213114754099</v>
      </c>
      <c r="AC26" s="69">
        <v>25.784984000000001</v>
      </c>
      <c r="AD26" s="69">
        <v>10.578643599999999</v>
      </c>
      <c r="AE26" s="2">
        <v>87</v>
      </c>
      <c r="AF26" s="102">
        <v>87</v>
      </c>
      <c r="AG26" s="2">
        <v>183</v>
      </c>
      <c r="AH26" s="5">
        <v>39</v>
      </c>
      <c r="AI26" s="71">
        <f>AG26/IncidenceComplications!W23</f>
        <v>2.103448275862069</v>
      </c>
      <c r="AJ26" s="71">
        <f>AH26/IncidenceComplications!W23</f>
        <v>0.44827586206896552</v>
      </c>
      <c r="AK26" s="71">
        <v>2.1077624099999999</v>
      </c>
      <c r="AL26" s="71">
        <v>1.0538812099999999</v>
      </c>
      <c r="AM26" s="54">
        <v>2084.5100000000002</v>
      </c>
      <c r="AN26" s="51">
        <v>341</v>
      </c>
      <c r="AO26" s="68">
        <f>AM26/IncidenceComplications!W23</f>
        <v>23.959885057471269</v>
      </c>
      <c r="AP26" s="68">
        <f>AN26/IncidenceComplications!W23</f>
        <v>3.9195402298850577</v>
      </c>
      <c r="AQ26" s="68">
        <v>26.448069100000001</v>
      </c>
      <c r="AR26" s="78">
        <v>10.1010597</v>
      </c>
    </row>
    <row r="27" spans="1:44" x14ac:dyDescent="0.25">
      <c r="A27" s="261"/>
      <c r="B27" s="5" t="s">
        <v>4</v>
      </c>
      <c r="C27" s="2">
        <v>2908</v>
      </c>
      <c r="D27" s="115">
        <v>1555</v>
      </c>
      <c r="E27" s="2">
        <v>5093</v>
      </c>
      <c r="F27" s="115">
        <v>2395</v>
      </c>
      <c r="G27" s="37">
        <f>E27/IncidenceComplications!$G24</f>
        <v>0.76713360445850276</v>
      </c>
      <c r="H27" s="37">
        <f>F27/IncidenceComplications!$G24</f>
        <v>0.36074710046693781</v>
      </c>
      <c r="I27" s="37">
        <v>1.19781793</v>
      </c>
      <c r="J27" s="37">
        <v>0.81683576000000002</v>
      </c>
      <c r="K27" s="54">
        <v>53976.3</v>
      </c>
      <c r="L27" s="51">
        <v>26667.97</v>
      </c>
      <c r="M27" s="68">
        <f>K27/IncidenceComplications!$G24</f>
        <v>8.1301852688657927</v>
      </c>
      <c r="N27" s="68">
        <f>L27/IncidenceComplications!$G24</f>
        <v>4.0168654917909326</v>
      </c>
      <c r="O27" s="68">
        <v>16.5519444</v>
      </c>
      <c r="P27" s="78">
        <v>18.787175399999999</v>
      </c>
      <c r="Q27" s="2">
        <v>269</v>
      </c>
      <c r="R27" s="102">
        <v>269</v>
      </c>
      <c r="S27" s="115">
        <v>382</v>
      </c>
      <c r="T27" s="115">
        <v>106</v>
      </c>
      <c r="U27" s="37">
        <f>S27/IncidenceComplications!M24</f>
        <v>1.4200743494423791</v>
      </c>
      <c r="V27" s="37">
        <f>T27/IncidenceComplications!M24</f>
        <v>0.39405204460966542</v>
      </c>
      <c r="W27" s="37">
        <v>1.41623265</v>
      </c>
      <c r="X27" s="37">
        <v>0.90650732999999994</v>
      </c>
      <c r="Y27" s="54">
        <v>4652.37</v>
      </c>
      <c r="Z27" s="49">
        <v>991.71</v>
      </c>
      <c r="AA27" s="69">
        <f>Y27/IncidenceComplications!M24</f>
        <v>17.295055762081784</v>
      </c>
      <c r="AB27" s="69">
        <f>Z27/IncidenceComplications!M24</f>
        <v>3.6866542750929368</v>
      </c>
      <c r="AC27" s="69">
        <v>42.314157799999997</v>
      </c>
      <c r="AD27" s="69">
        <v>8.9820986099999995</v>
      </c>
      <c r="AE27" s="2">
        <v>162</v>
      </c>
      <c r="AF27" s="102">
        <v>162</v>
      </c>
      <c r="AG27" s="2">
        <v>257</v>
      </c>
      <c r="AH27" s="5">
        <v>68</v>
      </c>
      <c r="AI27" s="71">
        <f>AG27/IncidenceComplications!W24</f>
        <v>1.5864197530864197</v>
      </c>
      <c r="AJ27" s="71">
        <f>AH27/IncidenceComplications!W24</f>
        <v>0.41975308641975306</v>
      </c>
      <c r="AK27" s="71">
        <v>1.8837159699999999</v>
      </c>
      <c r="AL27" s="71">
        <v>0.84683109999999995</v>
      </c>
      <c r="AM27" s="54">
        <v>3569.19</v>
      </c>
      <c r="AN27" s="51">
        <v>795.96</v>
      </c>
      <c r="AO27" s="68">
        <f>AM27/IncidenceComplications!W24</f>
        <v>22.032037037037039</v>
      </c>
      <c r="AP27" s="68">
        <f>AN27/IncidenceComplications!W24</f>
        <v>4.913333333333334</v>
      </c>
      <c r="AQ27" s="68">
        <v>30.9052632</v>
      </c>
      <c r="AR27" s="78">
        <v>12.0128957</v>
      </c>
    </row>
    <row r="28" spans="1:44" x14ac:dyDescent="0.25">
      <c r="A28" s="261"/>
      <c r="B28" s="5" t="s">
        <v>5</v>
      </c>
      <c r="C28" s="2">
        <v>4573</v>
      </c>
      <c r="D28" s="115">
        <v>2511</v>
      </c>
      <c r="E28" s="2">
        <v>8588</v>
      </c>
      <c r="F28" s="115">
        <v>4173</v>
      </c>
      <c r="G28" s="37">
        <f>E28/IncidenceComplications!$G25</f>
        <v>0.93510452961672474</v>
      </c>
      <c r="H28" s="37">
        <f>F28/IncidenceComplications!$G25</f>
        <v>0.45437717770034841</v>
      </c>
      <c r="I28" s="37">
        <v>1.33447581</v>
      </c>
      <c r="J28" s="37">
        <v>0.93900231999999995</v>
      </c>
      <c r="K28" s="54">
        <v>97398.73</v>
      </c>
      <c r="L28" s="51">
        <v>47126.23</v>
      </c>
      <c r="M28" s="68">
        <f>K28/IncidenceComplications!$G25</f>
        <v>10.605262412891985</v>
      </c>
      <c r="N28" s="68">
        <f>L28/IncidenceComplications!$G25</f>
        <v>5.1313403745644601</v>
      </c>
      <c r="O28" s="68">
        <v>22.095320600000001</v>
      </c>
      <c r="P28" s="78">
        <v>14.984915900000001</v>
      </c>
      <c r="Q28" s="2">
        <v>316</v>
      </c>
      <c r="R28" s="102">
        <v>316</v>
      </c>
      <c r="S28" s="115">
        <v>558</v>
      </c>
      <c r="T28" s="115">
        <v>178</v>
      </c>
      <c r="U28" s="37">
        <f>S28/IncidenceComplications!M25</f>
        <v>1.7658227848101267</v>
      </c>
      <c r="V28" s="37">
        <f>T28/IncidenceComplications!M25</f>
        <v>0.56329113924050633</v>
      </c>
      <c r="W28" s="37">
        <v>1.8211028300000001</v>
      </c>
      <c r="X28" s="37">
        <v>1.0775253499999999</v>
      </c>
      <c r="Y28" s="54">
        <v>7164.95</v>
      </c>
      <c r="Z28" s="49">
        <v>2049.19</v>
      </c>
      <c r="AA28" s="69">
        <f>Y28/IncidenceComplications!M25</f>
        <v>22.673892405063292</v>
      </c>
      <c r="AB28" s="69">
        <f>Z28/IncidenceComplications!M25</f>
        <v>6.4847784810126585</v>
      </c>
      <c r="AC28" s="69">
        <v>38.338315399999999</v>
      </c>
      <c r="AD28" s="69">
        <v>14.2647429</v>
      </c>
      <c r="AE28" s="2">
        <v>413</v>
      </c>
      <c r="AF28" s="102">
        <v>413</v>
      </c>
      <c r="AG28" s="2">
        <v>635</v>
      </c>
      <c r="AH28" s="5">
        <v>198</v>
      </c>
      <c r="AI28" s="71">
        <f>AG28/IncidenceComplications!W25</f>
        <v>1.5375302663438257</v>
      </c>
      <c r="AJ28" s="71">
        <f>AH28/IncidenceComplications!W25</f>
        <v>0.47941888619854722</v>
      </c>
      <c r="AK28" s="71">
        <v>1.6769918500000001</v>
      </c>
      <c r="AL28" s="71">
        <v>0.97676286000000001</v>
      </c>
      <c r="AM28" s="54">
        <v>8208.84</v>
      </c>
      <c r="AN28" s="51">
        <v>2057.3000000000002</v>
      </c>
      <c r="AO28" s="68">
        <f>AM28/IncidenceComplications!W25</f>
        <v>19.876125907990314</v>
      </c>
      <c r="AP28" s="68">
        <f>AN28/IncidenceComplications!W25</f>
        <v>4.9813559322033907</v>
      </c>
      <c r="AQ28" s="68">
        <v>32.867363500000003</v>
      </c>
      <c r="AR28" s="78">
        <v>12.9861597</v>
      </c>
    </row>
    <row r="29" spans="1:44" x14ac:dyDescent="0.25">
      <c r="A29" s="261"/>
      <c r="B29" s="6" t="s">
        <v>6</v>
      </c>
      <c r="C29" s="8">
        <v>1374</v>
      </c>
      <c r="D29" s="53">
        <v>848</v>
      </c>
      <c r="E29" s="8">
        <v>2896</v>
      </c>
      <c r="F29" s="6">
        <v>1706</v>
      </c>
      <c r="G29" s="39">
        <f>E29/IncidenceComplications!$G26</f>
        <v>1.1625853071055801</v>
      </c>
      <c r="H29" s="39">
        <f>F29/IncidenceComplications!$G26</f>
        <v>0.68486551585708555</v>
      </c>
      <c r="I29" s="39">
        <v>1.55503496</v>
      </c>
      <c r="J29" s="39">
        <v>1.39269745</v>
      </c>
      <c r="K29" s="55">
        <v>35836.01</v>
      </c>
      <c r="L29" s="50">
        <v>22068.07</v>
      </c>
      <c r="M29" s="75">
        <f>K29/IncidenceComplications!$G26</f>
        <v>14.386194299478122</v>
      </c>
      <c r="N29" s="75">
        <f>L29/IncidenceComplications!$G26</f>
        <v>8.8591208350060224</v>
      </c>
      <c r="O29" s="75">
        <v>33.6610443</v>
      </c>
      <c r="P29" s="79">
        <v>25.154488499999999</v>
      </c>
      <c r="Q29" s="2">
        <v>112</v>
      </c>
      <c r="R29" s="102">
        <v>112</v>
      </c>
      <c r="S29" s="8">
        <v>173</v>
      </c>
      <c r="T29" s="6">
        <v>59</v>
      </c>
      <c r="U29" s="39">
        <f>S29/IncidenceComplications!M26</f>
        <v>1.5446428571428572</v>
      </c>
      <c r="V29" s="39">
        <f>T29/IncidenceComplications!M26</f>
        <v>0.5267857142857143</v>
      </c>
      <c r="W29" s="39">
        <v>1.45743445</v>
      </c>
      <c r="X29" s="39">
        <v>0.92959181000000002</v>
      </c>
      <c r="Y29" s="55">
        <v>2082.5700000000002</v>
      </c>
      <c r="Z29" s="50">
        <v>754.56</v>
      </c>
      <c r="AA29" s="75">
        <f>Y29/IncidenceComplications!M26</f>
        <v>18.594375000000003</v>
      </c>
      <c r="AB29" s="75">
        <f>Z29/IncidenceComplications!M26</f>
        <v>6.7371428571428567</v>
      </c>
      <c r="AC29" s="75">
        <v>19.271070699999999</v>
      </c>
      <c r="AD29" s="75">
        <v>16.115275100000002</v>
      </c>
      <c r="AE29" s="2">
        <v>224</v>
      </c>
      <c r="AF29" s="102">
        <v>224</v>
      </c>
      <c r="AG29" s="8">
        <v>351</v>
      </c>
      <c r="AH29" s="6">
        <v>174</v>
      </c>
      <c r="AI29" s="39">
        <f>AG29/IncidenceComplications!W26</f>
        <v>1.5669642857142858</v>
      </c>
      <c r="AJ29" s="39">
        <f>AH29/IncidenceComplications!W26</f>
        <v>0.7767857142857143</v>
      </c>
      <c r="AK29" s="39">
        <v>2.1955882500000001</v>
      </c>
      <c r="AL29" s="39">
        <v>2.02100992</v>
      </c>
      <c r="AM29" s="55">
        <v>5004.76</v>
      </c>
      <c r="AN29" s="50">
        <v>2437.96</v>
      </c>
      <c r="AO29" s="75">
        <f>AM29/IncidenceComplications!W26</f>
        <v>22.342678571428571</v>
      </c>
      <c r="AP29" s="75">
        <f>AN29/IncidenceComplications!W26</f>
        <v>10.883750000000001</v>
      </c>
      <c r="AQ29" s="75">
        <v>35.105570299999997</v>
      </c>
      <c r="AR29" s="79">
        <v>31.911347800000001</v>
      </c>
    </row>
    <row r="30" spans="1:44" ht="15.75" thickBot="1" x14ac:dyDescent="0.3">
      <c r="A30" s="262"/>
      <c r="B30" s="15" t="s">
        <v>14</v>
      </c>
      <c r="C30" s="66">
        <f>SUM(C23:C29)</f>
        <v>11953</v>
      </c>
      <c r="D30" s="99">
        <f>SUM(D23:D29)</f>
        <v>6709</v>
      </c>
      <c r="E30" s="16">
        <f>SUM(E23:E29)</f>
        <v>26657</v>
      </c>
      <c r="F30" s="17">
        <f>SUM(F23:F29)</f>
        <v>13301</v>
      </c>
      <c r="G30" s="40">
        <f>E30/IncidenceComplications!$G27</f>
        <v>1.179461085792664</v>
      </c>
      <c r="H30" s="40">
        <f>F30/IncidenceComplications!$G27</f>
        <v>0.58851378257599218</v>
      </c>
      <c r="I30" s="40">
        <f t="array" ref="I30">SQRT(AVERAGE(I23:I29^2))</f>
        <v>2.0923832761176282</v>
      </c>
      <c r="J30" s="40">
        <f t="array" ref="J30">SQRT(AVERAGE(J23:J29^2))</f>
        <v>1.6488953780550872</v>
      </c>
      <c r="K30" s="74">
        <f>SUM(K23:K29)</f>
        <v>252996.02000000002</v>
      </c>
      <c r="L30" s="57">
        <f>SUM(L23:L29)</f>
        <v>128407.66</v>
      </c>
      <c r="M30" s="77">
        <f>K30/IncidenceComplications!$G27</f>
        <v>11.194018848723509</v>
      </c>
      <c r="N30" s="77">
        <f>L30/IncidenceComplications!$G27</f>
        <v>5.6815034732976422</v>
      </c>
      <c r="O30" s="77">
        <f t="array" ref="O30">SQRT(AVERAGE(O23:O29^2))</f>
        <v>21.422568355159861</v>
      </c>
      <c r="P30" s="80">
        <f t="array" ref="P30">SQRT(AVERAGE(P23:P29^2))</f>
        <v>16.823656993206807</v>
      </c>
      <c r="Q30" s="103">
        <f>SUM(Q23:Q29)</f>
        <v>1561</v>
      </c>
      <c r="R30" s="104">
        <f>SUM(R23:R29)</f>
        <v>1561</v>
      </c>
      <c r="S30" s="35">
        <f>SUM(S23:S29)</f>
        <v>4634</v>
      </c>
      <c r="T30" s="15">
        <f>SUM(T23:T29)</f>
        <v>1773</v>
      </c>
      <c r="U30" s="40">
        <f>S30/IncidenceComplications!M27</f>
        <v>2.9686098654708521</v>
      </c>
      <c r="V30" s="40">
        <f>T30/IncidenceComplications!M27</f>
        <v>1.1358103779628443</v>
      </c>
      <c r="W30" s="40">
        <f t="array" ref="W30">SQRT(AVERAGE(W23:W29^2))</f>
        <v>2.4154542160933312</v>
      </c>
      <c r="X30" s="40">
        <f t="array" ref="X30">SQRT(AVERAGE(X23:X29^2))</f>
        <v>1.6701521521432872</v>
      </c>
      <c r="Y30" s="74">
        <f>SUM(Y23:Y29)</f>
        <v>36179</v>
      </c>
      <c r="Z30" s="57">
        <f>SUM(Z23:Z29)</f>
        <v>12196.149999999998</v>
      </c>
      <c r="AA30" s="77">
        <f>Y30/IncidenceComplications!M27</f>
        <v>23.176809737347853</v>
      </c>
      <c r="AB30" s="77">
        <f>Z30/IncidenceComplications!M27</f>
        <v>7.813036515054451</v>
      </c>
      <c r="AC30" s="77">
        <f t="array" ref="AC30">SQRT(AVERAGE(AC23:AC29^2))</f>
        <v>28.596527709002203</v>
      </c>
      <c r="AD30" s="77">
        <f t="array" ref="AD30">SQRT(AVERAGE(AD23:AD29^2))</f>
        <v>13.664102377936594</v>
      </c>
      <c r="AE30" s="103">
        <f>SUM(AE23:AE29)</f>
        <v>1167</v>
      </c>
      <c r="AF30" s="104">
        <f>SUM(AF23:AF29)</f>
        <v>1167</v>
      </c>
      <c r="AG30" s="35">
        <f>SUM(AG23:AG29)</f>
        <v>2634</v>
      </c>
      <c r="AH30" s="15">
        <f>SUM(AH23:AH29)</f>
        <v>1036</v>
      </c>
      <c r="AI30" s="40">
        <f>AG30/IncidenceComplications!W27</f>
        <v>2.2570694087403598</v>
      </c>
      <c r="AJ30" s="40">
        <f>AH30/IncidenceComplications!W27</f>
        <v>0.88774635818337622</v>
      </c>
      <c r="AK30" s="40">
        <f t="array" ref="AK30">SQRT(AVERAGE(AK23:AK29^2))</f>
        <v>2.7600202587743623</v>
      </c>
      <c r="AL30" s="40">
        <f t="array" ref="AL30">SQRT(AVERAGE(AL23:AL29^2))</f>
        <v>1.7567272469287445</v>
      </c>
      <c r="AM30" s="74">
        <f>SUM(AM23:AM29)</f>
        <v>27145.980000000003</v>
      </c>
      <c r="AN30" s="57">
        <f>SUM(AN23:AN29)</f>
        <v>9052.98</v>
      </c>
      <c r="AO30" s="77">
        <f>AM30/IncidenceComplications!W27</f>
        <v>23.261336760925452</v>
      </c>
      <c r="AP30" s="77">
        <f>AN30/IncidenceComplications!W27</f>
        <v>7.7574807197943443</v>
      </c>
      <c r="AQ30" s="77">
        <f t="array" ref="AQ30">SQRT(AVERAGE(AQ23:AQ29^2))</f>
        <v>30.201347227746492</v>
      </c>
      <c r="AR30" s="80">
        <f t="array" ref="AR30">SQRT(AVERAGE(AR23:AR29^2))</f>
        <v>17.924455924792341</v>
      </c>
    </row>
    <row r="31" spans="1:44" ht="16.5" thickTop="1" thickBot="1" x14ac:dyDescent="0.3">
      <c r="A31" s="259" t="s">
        <v>14</v>
      </c>
      <c r="B31" s="259"/>
      <c r="C31" s="101">
        <f>SUM(C14,C22,C30)</f>
        <v>54577</v>
      </c>
      <c r="D31" s="100">
        <f>SUM(D14,D22,D30)</f>
        <v>30812</v>
      </c>
      <c r="E31" s="81">
        <f>SUM(E30,E22,E14)</f>
        <v>127550</v>
      </c>
      <c r="F31" s="82">
        <f>SUM(F30,F22,F14)</f>
        <v>65269</v>
      </c>
      <c r="G31" s="83">
        <f>E31/IncidenceComplications!$G28</f>
        <v>1.3413749224410816</v>
      </c>
      <c r="H31" s="83">
        <f>F31/IncidenceComplications!$G28</f>
        <v>0.68639905772486831</v>
      </c>
      <c r="I31" s="83">
        <f>SQRT(AVERAGE(I14^2,I22^2,I30^2))</f>
        <v>2.1671996875315087</v>
      </c>
      <c r="J31" s="83">
        <f>SQRT(AVERAGE(J14^2,J22^2,J30^2))</f>
        <v>1.7550844603606912</v>
      </c>
      <c r="K31" s="84">
        <f>SUM(K30,K22,K14)</f>
        <v>1192844.74819</v>
      </c>
      <c r="L31" s="85">
        <f>SUM(L30,L22,L14)</f>
        <v>600395.18033</v>
      </c>
      <c r="M31" s="86">
        <f>K31/IncidenceComplications!$G28</f>
        <v>12.544508283713153</v>
      </c>
      <c r="N31" s="86">
        <f>L31/IncidenceComplications!$G28</f>
        <v>6.3140340137134681</v>
      </c>
      <c r="O31" s="86">
        <f>SQRT(AVERAGE(O14^2,O22^2,O30^2))</f>
        <v>28.811921575932253</v>
      </c>
      <c r="P31" s="97">
        <f>SQRT(AVERAGE(P14^2,P22^2,P30^2))</f>
        <v>26.52697340906143</v>
      </c>
      <c r="Q31" s="81">
        <f>SUM(Q30,Q22,Q14)</f>
        <v>6462</v>
      </c>
      <c r="R31" s="105">
        <f>SUM(R30,R22,R14)</f>
        <v>6462</v>
      </c>
      <c r="S31" s="81">
        <f>SUM(S14,S22,S30)</f>
        <v>21908</v>
      </c>
      <c r="T31" s="82">
        <f>SUM(T14,T22,T30)</f>
        <v>9204</v>
      </c>
      <c r="U31" s="83">
        <f>S31/IncidenceComplications!M28</f>
        <v>3.3902816465490559</v>
      </c>
      <c r="V31" s="83">
        <f>T31/IncidenceComplications!M28</f>
        <v>1.4243268337975858</v>
      </c>
      <c r="W31" s="83">
        <f>SQRT(AVERAGE(W14^2,W22^2,W30^2))</f>
        <v>2.5096416168432305</v>
      </c>
      <c r="X31" s="83">
        <f>SQRT(AVERAGE(X14^2,X22^2,X30^2))</f>
        <v>1.8142224262108164</v>
      </c>
      <c r="Y31" s="81">
        <f>SUM(Y14,Y22,Y30)</f>
        <v>160917.57971000002</v>
      </c>
      <c r="Z31" s="82">
        <f>SUM(Z14,Z22,Z30)</f>
        <v>61038.937687999991</v>
      </c>
      <c r="AA31" s="86">
        <f>Y31/IncidenceComplications!M28</f>
        <v>24.902132421850823</v>
      </c>
      <c r="AB31" s="86">
        <f>Z31/IncidenceComplications!M28</f>
        <v>9.4458275592695742</v>
      </c>
      <c r="AC31" s="86">
        <f>SQRT(AVERAGE(AC14^2,AC22^2,AC30^2))</f>
        <v>26.536109661627105</v>
      </c>
      <c r="AD31" s="86">
        <f>SQRT(AVERAGE(AD14^2,AD22^2,AD30^2))</f>
        <v>16.831563735507238</v>
      </c>
      <c r="AE31" s="81">
        <f>SUM(AE30,AE22,AE14)</f>
        <v>4832</v>
      </c>
      <c r="AF31" s="105">
        <f>SUM(AF30,AF22,AF14)</f>
        <v>4832</v>
      </c>
      <c r="AG31" s="81">
        <f>SUM(AG14,AG22,AG30)</f>
        <v>12297</v>
      </c>
      <c r="AH31" s="82">
        <f>SUM(AH14,AH22,AH30)</f>
        <v>4900</v>
      </c>
      <c r="AI31" s="83">
        <f>AG31/IncidenceComplications!W28</f>
        <v>2.544908940397351</v>
      </c>
      <c r="AJ31" s="83">
        <f>AH31/IncidenceComplications!W28</f>
        <v>1.0140728476821192</v>
      </c>
      <c r="AK31" s="83">
        <f>SQRT(AVERAGE(AK14^2,AK22^2,AK30^2))</f>
        <v>2.7478280336413166</v>
      </c>
      <c r="AL31" s="83">
        <f>SQRT(AVERAGE(AL14^2,AL22^2,AL30^2))</f>
        <v>1.8070867147077438</v>
      </c>
      <c r="AM31" s="84">
        <f>SUM(AM14,AM22,AM30)</f>
        <v>124387.72712</v>
      </c>
      <c r="AN31" s="85">
        <f>SUM(AN14,AN22,AN30)</f>
        <v>39432.837709999993</v>
      </c>
      <c r="AO31" s="86">
        <f>AM31/IncidenceComplications!W28</f>
        <v>25.742493195364236</v>
      </c>
      <c r="AP31" s="86">
        <f>AN31/IncidenceComplications!W28</f>
        <v>8.1607693936258254</v>
      </c>
      <c r="AQ31" s="86">
        <f>SQRT(AVERAGE(AQ14^2,AQ22^2,AQ30^2))</f>
        <v>31.833276934338944</v>
      </c>
      <c r="AR31" s="97">
        <f>SQRT(AVERAGE(AR14^2,AR22^2,AR30^2))</f>
        <v>17.883906437466575</v>
      </c>
    </row>
    <row r="32" spans="1:44" x14ac:dyDescent="0.25">
      <c r="A32" s="273" t="s">
        <v>35</v>
      </c>
      <c r="B32" s="5" t="s">
        <v>0</v>
      </c>
      <c r="C32" s="3">
        <f t="shared" ref="C32:F38" si="0">SUM(C7,C15,C23)</f>
        <v>1493</v>
      </c>
      <c r="D32" s="9">
        <f t="shared" si="0"/>
        <v>1119</v>
      </c>
      <c r="E32" s="3">
        <f t="shared" si="0"/>
        <v>6274</v>
      </c>
      <c r="F32" s="9">
        <f t="shared" si="0"/>
        <v>3535</v>
      </c>
      <c r="G32" s="37">
        <f>E32/IncidenceComplications!$G29</f>
        <v>3.7058476077968105</v>
      </c>
      <c r="H32" s="37">
        <f>F32/IncidenceComplications!$G29</f>
        <v>2.0880094506792677</v>
      </c>
      <c r="I32" s="71">
        <f t="shared" ref="I32:J38" si="1">SQRT(AVERAGE(I7^2,I15^2,I23^2))</f>
        <v>3.0771069875444628</v>
      </c>
      <c r="J32" s="71">
        <f t="shared" si="1"/>
        <v>2.5141880681287341</v>
      </c>
      <c r="K32" s="54">
        <f t="shared" ref="K32:L38" si="2">SUM(K7,K15,K23)</f>
        <v>26620.29739</v>
      </c>
      <c r="L32" s="51">
        <f t="shared" si="2"/>
        <v>13757.369339999999</v>
      </c>
      <c r="M32" s="68">
        <f>K32/IncidenceComplications!$G29</f>
        <v>15.723743290017719</v>
      </c>
      <c r="N32" s="68">
        <f>L32/IncidenceComplications!$G29</f>
        <v>8.1260303248670986</v>
      </c>
      <c r="O32" s="68">
        <f t="shared" ref="O32:P38" si="3">SQRT(AVERAGE(O7^2,O15^2,O23^2))</f>
        <v>16.844562350219832</v>
      </c>
      <c r="P32" s="78">
        <f t="shared" si="3"/>
        <v>13.088607648386905</v>
      </c>
      <c r="Q32" s="3">
        <f t="shared" ref="Q32:T38" si="4">SUM(Q7,Q15,Q23)</f>
        <v>487</v>
      </c>
      <c r="R32" s="106">
        <f t="shared" si="4"/>
        <v>487</v>
      </c>
      <c r="S32" s="3">
        <f t="shared" si="4"/>
        <v>2703</v>
      </c>
      <c r="T32" s="9">
        <f t="shared" si="4"/>
        <v>1090</v>
      </c>
      <c r="U32" s="37">
        <f>S32/IncidenceComplications!M29</f>
        <v>5.5503080082135527</v>
      </c>
      <c r="V32" s="37">
        <f>T32/IncidenceComplications!M29</f>
        <v>2.238193018480493</v>
      </c>
      <c r="W32" s="71">
        <f t="shared" ref="W32:X38" si="5">SQRT(AVERAGE(W7^2,W15^2,W23^2))</f>
        <v>3.3783124777127038</v>
      </c>
      <c r="X32" s="71">
        <f t="shared" si="5"/>
        <v>2.5751583561551294</v>
      </c>
      <c r="Y32" s="3">
        <f t="shared" ref="Y32:Z38" si="6">SUM(Y7,Y15,Y23)</f>
        <v>12747.708439999999</v>
      </c>
      <c r="Z32" s="9">
        <f t="shared" si="6"/>
        <v>4476.1217299999998</v>
      </c>
      <c r="AA32" s="69">
        <f>Y32/IncidenceComplications!M29</f>
        <v>26.175992689938397</v>
      </c>
      <c r="AB32" s="69">
        <f>Z32/IncidenceComplications!M29</f>
        <v>9.1912150513347015</v>
      </c>
      <c r="AC32" s="68">
        <f t="shared" ref="AC32:AD38" si="7">SQRT(AVERAGE(AC7^2,AC15^2,AC23^2))</f>
        <v>20.049234091841868</v>
      </c>
      <c r="AD32" s="68">
        <f t="shared" si="7"/>
        <v>15.465554215945609</v>
      </c>
      <c r="AE32" s="3">
        <f t="shared" ref="AE32:AH38" si="8">SUM(AE7,AE15,AE23)</f>
        <v>213</v>
      </c>
      <c r="AF32" s="106">
        <f t="shared" si="8"/>
        <v>213</v>
      </c>
      <c r="AG32" s="3">
        <f t="shared" si="8"/>
        <v>1045</v>
      </c>
      <c r="AH32" s="9">
        <f t="shared" si="8"/>
        <v>459</v>
      </c>
      <c r="AI32" s="71">
        <f>AG32/IncidenceComplications!W29</f>
        <v>4.9061032863849769</v>
      </c>
      <c r="AJ32" s="71">
        <f>AH32/IncidenceComplications!W29</f>
        <v>2.1549295774647885</v>
      </c>
      <c r="AK32" s="71">
        <f t="shared" ref="AK32:AL38" si="9">SQRT(AVERAGE(AK7^2,AK15^2,AK23^2))</f>
        <v>3.7143050757002167</v>
      </c>
      <c r="AL32" s="71">
        <f t="shared" si="9"/>
        <v>2.3503030411738224</v>
      </c>
      <c r="AM32" s="54">
        <f t="shared" ref="AM32:AN38" si="10">SUM(AM7,AM15,AM23)</f>
        <v>5082.5453099999995</v>
      </c>
      <c r="AN32" s="51">
        <f t="shared" si="10"/>
        <v>1798.291219</v>
      </c>
      <c r="AO32" s="68">
        <f>AM32/IncidenceComplications!W29</f>
        <v>23.861715070422534</v>
      </c>
      <c r="AP32" s="68">
        <f>AN32/IncidenceComplications!W29</f>
        <v>8.4426817793427222</v>
      </c>
      <c r="AQ32" s="68">
        <f t="shared" ref="AQ32:AR38" si="11">SQRT(AVERAGE(AQ7^2,AQ15^2,AQ23^2))</f>
        <v>20.885850850901519</v>
      </c>
      <c r="AR32" s="78">
        <f t="shared" si="11"/>
        <v>15.423072276549487</v>
      </c>
    </row>
    <row r="33" spans="1:52" x14ac:dyDescent="0.25">
      <c r="A33" s="261"/>
      <c r="B33" s="5" t="s">
        <v>1</v>
      </c>
      <c r="C33" s="3">
        <f t="shared" si="0"/>
        <v>5576</v>
      </c>
      <c r="D33" s="9">
        <f t="shared" si="0"/>
        <v>4225</v>
      </c>
      <c r="E33" s="3">
        <f t="shared" si="0"/>
        <v>23357</v>
      </c>
      <c r="F33" s="9">
        <f t="shared" si="0"/>
        <v>14759</v>
      </c>
      <c r="G33" s="37">
        <f>E33/IncidenceComplications!$G30</f>
        <v>3.6933902593295382</v>
      </c>
      <c r="H33" s="37">
        <f>F33/IncidenceComplications!$G30</f>
        <v>2.3338077166350413</v>
      </c>
      <c r="I33" s="71">
        <f t="shared" si="1"/>
        <v>3.0526211578578248</v>
      </c>
      <c r="J33" s="71">
        <f t="shared" si="1"/>
        <v>2.654750709316497</v>
      </c>
      <c r="K33" s="54">
        <f t="shared" si="2"/>
        <v>135260.7898</v>
      </c>
      <c r="L33" s="51">
        <f t="shared" si="2"/>
        <v>86258.884300000005</v>
      </c>
      <c r="M33" s="68">
        <f>K33/IncidenceComplications!$G30</f>
        <v>21.388486685641997</v>
      </c>
      <c r="N33" s="68">
        <f>L33/IncidenceComplications!$G30</f>
        <v>13.639924778621127</v>
      </c>
      <c r="O33" s="68">
        <f t="shared" si="3"/>
        <v>21.462900161918803</v>
      </c>
      <c r="P33" s="78">
        <f t="shared" si="3"/>
        <v>18.545695934670302</v>
      </c>
      <c r="Q33" s="3">
        <f t="shared" si="4"/>
        <v>2122</v>
      </c>
      <c r="R33" s="106">
        <f t="shared" si="4"/>
        <v>2122</v>
      </c>
      <c r="S33" s="3">
        <f t="shared" si="4"/>
        <v>10468</v>
      </c>
      <c r="T33" s="9">
        <f t="shared" si="4"/>
        <v>5372</v>
      </c>
      <c r="U33" s="37">
        <f>S33/IncidenceComplications!M30</f>
        <v>4.9330819981149858</v>
      </c>
      <c r="V33" s="37">
        <f>T33/IncidenceComplications!M30</f>
        <v>2.5315739868049012</v>
      </c>
      <c r="W33" s="71">
        <f t="shared" si="5"/>
        <v>3.3805186908971701</v>
      </c>
      <c r="X33" s="71">
        <f t="shared" si="5"/>
        <v>2.7468112270206482</v>
      </c>
      <c r="Y33" s="3">
        <f t="shared" si="6"/>
        <v>62552.080399999999</v>
      </c>
      <c r="Z33" s="9">
        <f t="shared" si="6"/>
        <v>30927.484349999999</v>
      </c>
      <c r="AA33" s="69">
        <f>Y33/IncidenceComplications!M30</f>
        <v>29.477888972667294</v>
      </c>
      <c r="AB33" s="69">
        <f>Z33/IncidenceComplications!M30</f>
        <v>14.574686310084825</v>
      </c>
      <c r="AC33" s="68">
        <f t="shared" si="7"/>
        <v>23.449072039207099</v>
      </c>
      <c r="AD33" s="68">
        <f t="shared" si="7"/>
        <v>18.628595194031792</v>
      </c>
      <c r="AE33" s="3">
        <f t="shared" si="8"/>
        <v>726</v>
      </c>
      <c r="AF33" s="106">
        <f t="shared" si="8"/>
        <v>726</v>
      </c>
      <c r="AG33" s="3">
        <f t="shared" si="8"/>
        <v>3598</v>
      </c>
      <c r="AH33" s="9">
        <f t="shared" si="8"/>
        <v>1999</v>
      </c>
      <c r="AI33" s="71">
        <f>AG33/IncidenceComplications!W30</f>
        <v>4.9559228650137745</v>
      </c>
      <c r="AJ33" s="71">
        <f>AH33/IncidenceComplications!W30</f>
        <v>2.7534435261707988</v>
      </c>
      <c r="AK33" s="71">
        <f t="shared" si="9"/>
        <v>3.7337120946494249</v>
      </c>
      <c r="AL33" s="71">
        <f t="shared" si="9"/>
        <v>2.8722739311036753</v>
      </c>
      <c r="AM33" s="54">
        <f t="shared" si="10"/>
        <v>23685.525299999998</v>
      </c>
      <c r="AN33" s="51">
        <f t="shared" si="10"/>
        <v>11571.296330000001</v>
      </c>
      <c r="AO33" s="68">
        <f>AM33/IncidenceComplications!W30</f>
        <v>32.624690495867767</v>
      </c>
      <c r="AP33" s="68">
        <f>AN33/IncidenceComplications!W30</f>
        <v>15.938424696969699</v>
      </c>
      <c r="AQ33" s="68">
        <f t="shared" si="11"/>
        <v>26.938084577594022</v>
      </c>
      <c r="AR33" s="78">
        <f t="shared" si="11"/>
        <v>20.034759222274339</v>
      </c>
    </row>
    <row r="34" spans="1:52" x14ac:dyDescent="0.25">
      <c r="A34" s="261"/>
      <c r="B34" s="5" t="s">
        <v>2</v>
      </c>
      <c r="C34" s="3">
        <f t="shared" si="0"/>
        <v>4044</v>
      </c>
      <c r="D34" s="9">
        <f t="shared" si="0"/>
        <v>2273</v>
      </c>
      <c r="E34" s="3">
        <f t="shared" si="0"/>
        <v>12780</v>
      </c>
      <c r="F34" s="9">
        <f t="shared" si="0"/>
        <v>6256</v>
      </c>
      <c r="G34" s="37">
        <f>E34/IncidenceComplications!$G31</f>
        <v>2.6296296296296298</v>
      </c>
      <c r="H34" s="37">
        <f>F34/IncidenceComplications!$G31</f>
        <v>1.2872427983539094</v>
      </c>
      <c r="I34" s="71">
        <f t="shared" si="1"/>
        <v>2.2614974253915574</v>
      </c>
      <c r="J34" s="71">
        <f t="shared" si="1"/>
        <v>1.8542571427886319</v>
      </c>
      <c r="K34" s="54">
        <f t="shared" si="2"/>
        <v>83136.334300000002</v>
      </c>
      <c r="L34" s="51">
        <f t="shared" si="2"/>
        <v>48344.944060000002</v>
      </c>
      <c r="M34" s="68">
        <f>K34/IncidenceComplications!$G31</f>
        <v>17.106241625514404</v>
      </c>
      <c r="N34" s="68">
        <f>L34/IncidenceComplications!$G31</f>
        <v>9.9475193539094651</v>
      </c>
      <c r="O34" s="68">
        <f t="shared" si="3"/>
        <v>19.18445611869225</v>
      </c>
      <c r="P34" s="78">
        <f t="shared" si="3"/>
        <v>55.043548426671975</v>
      </c>
      <c r="Q34" s="3">
        <f t="shared" si="4"/>
        <v>778</v>
      </c>
      <c r="R34" s="106">
        <f t="shared" si="4"/>
        <v>778</v>
      </c>
      <c r="S34" s="3">
        <f t="shared" si="4"/>
        <v>3020</v>
      </c>
      <c r="T34" s="9">
        <f t="shared" si="4"/>
        <v>1049</v>
      </c>
      <c r="U34" s="37">
        <f>S34/IncidenceComplications!M31</f>
        <v>3.8817480719794344</v>
      </c>
      <c r="V34" s="37">
        <f>T34/IncidenceComplications!M31</f>
        <v>1.3483290488431876</v>
      </c>
      <c r="W34" s="71">
        <f t="shared" si="5"/>
        <v>2.7171460748778569</v>
      </c>
      <c r="X34" s="71">
        <f t="shared" si="5"/>
        <v>1.8546173148531375</v>
      </c>
      <c r="Y34" s="3">
        <f t="shared" si="6"/>
        <v>20834.334040000002</v>
      </c>
      <c r="Z34" s="9">
        <f t="shared" si="6"/>
        <v>7171.4058199999999</v>
      </c>
      <c r="AA34" s="69">
        <f>Y34/IncidenceComplications!M31</f>
        <v>26.779349665809772</v>
      </c>
      <c r="AB34" s="69">
        <f>Z34/IncidenceComplications!M31</f>
        <v>9.2177452699228795</v>
      </c>
      <c r="AC34" s="68">
        <f t="shared" si="7"/>
        <v>23.819301312997663</v>
      </c>
      <c r="AD34" s="68">
        <f t="shared" si="7"/>
        <v>13.878743579638966</v>
      </c>
      <c r="AE34" s="3">
        <f t="shared" si="8"/>
        <v>324</v>
      </c>
      <c r="AF34" s="106">
        <f t="shared" si="8"/>
        <v>324</v>
      </c>
      <c r="AG34" s="3">
        <f t="shared" si="8"/>
        <v>1156</v>
      </c>
      <c r="AH34" s="9">
        <f t="shared" si="8"/>
        <v>398</v>
      </c>
      <c r="AI34" s="71">
        <f>AG34/IncidenceComplications!W31</f>
        <v>3.5679012345679011</v>
      </c>
      <c r="AJ34" s="71">
        <f>AH34/IncidenceComplications!W31</f>
        <v>1.228395061728395</v>
      </c>
      <c r="AK34" s="71">
        <f t="shared" si="9"/>
        <v>3.0607827111383368</v>
      </c>
      <c r="AL34" s="71">
        <f t="shared" si="9"/>
        <v>1.7064337464407042</v>
      </c>
      <c r="AM34" s="54">
        <f t="shared" si="10"/>
        <v>9317.3151799999996</v>
      </c>
      <c r="AN34" s="51">
        <f t="shared" si="10"/>
        <v>2848.5123669999998</v>
      </c>
      <c r="AO34" s="68">
        <f>AM34/IncidenceComplications!W31</f>
        <v>28.75714561728395</v>
      </c>
      <c r="AP34" s="68">
        <f>AN34/IncidenceComplications!W31</f>
        <v>8.7917048364197523</v>
      </c>
      <c r="AQ34" s="68">
        <f t="shared" si="11"/>
        <v>29.476572237877672</v>
      </c>
      <c r="AR34" s="78">
        <f t="shared" si="11"/>
        <v>15.238045049944086</v>
      </c>
    </row>
    <row r="35" spans="1:52" x14ac:dyDescent="0.25">
      <c r="A35" s="261"/>
      <c r="B35" s="5" t="s">
        <v>3</v>
      </c>
      <c r="C35" s="3">
        <f t="shared" si="0"/>
        <v>4921</v>
      </c>
      <c r="D35" s="9">
        <f t="shared" si="0"/>
        <v>2141</v>
      </c>
      <c r="E35" s="3">
        <f t="shared" si="0"/>
        <v>11454</v>
      </c>
      <c r="F35" s="9">
        <f t="shared" si="0"/>
        <v>4403</v>
      </c>
      <c r="G35" s="37">
        <f>E35/IncidenceComplications!$G32</f>
        <v>1.3627602617489589</v>
      </c>
      <c r="H35" s="37">
        <f>F35/IncidenceComplications!$G32</f>
        <v>0.52385484830458062</v>
      </c>
      <c r="I35" s="71">
        <f t="shared" si="1"/>
        <v>1.6803588964733478</v>
      </c>
      <c r="J35" s="71">
        <f t="shared" si="1"/>
        <v>1.1255680443966398</v>
      </c>
      <c r="K35" s="54">
        <f t="shared" si="2"/>
        <v>113821.5349</v>
      </c>
      <c r="L35" s="51">
        <f t="shared" si="2"/>
        <v>42228.966930000002</v>
      </c>
      <c r="M35" s="68">
        <f>K35/IncidenceComplications!$G32</f>
        <v>13.542121939321833</v>
      </c>
      <c r="N35" s="68">
        <f>L35/IncidenceComplications!$G32</f>
        <v>5.0242673325401546</v>
      </c>
      <c r="O35" s="68">
        <f t="shared" si="3"/>
        <v>52.135774131155941</v>
      </c>
      <c r="P35" s="78">
        <f t="shared" si="3"/>
        <v>12.69705391342705</v>
      </c>
      <c r="Q35" s="3">
        <f t="shared" si="4"/>
        <v>609</v>
      </c>
      <c r="R35" s="106">
        <f t="shared" si="4"/>
        <v>609</v>
      </c>
      <c r="S35" s="3">
        <f t="shared" si="4"/>
        <v>1512</v>
      </c>
      <c r="T35" s="9">
        <f t="shared" si="4"/>
        <v>404</v>
      </c>
      <c r="U35" s="37">
        <f>S35/IncidenceComplications!M32</f>
        <v>2.4827586206896552</v>
      </c>
      <c r="V35" s="37">
        <f>T35/IncidenceComplications!M32</f>
        <v>0.66338259441707714</v>
      </c>
      <c r="W35" s="71">
        <f t="shared" si="5"/>
        <v>2.3465753611575848</v>
      </c>
      <c r="X35" s="71">
        <f t="shared" si="5"/>
        <v>1.4133522377918502</v>
      </c>
      <c r="Y35" s="3">
        <f t="shared" si="6"/>
        <v>14637.362169999999</v>
      </c>
      <c r="Z35" s="9">
        <f t="shared" si="6"/>
        <v>3664.6738</v>
      </c>
      <c r="AA35" s="69">
        <f>Y35/IncidenceComplications!M32</f>
        <v>24.035077454844004</v>
      </c>
      <c r="AB35" s="69">
        <f>Z35/IncidenceComplications!M32</f>
        <v>6.0175267651888342</v>
      </c>
      <c r="AC35" s="68">
        <f t="shared" si="7"/>
        <v>24.732007824252761</v>
      </c>
      <c r="AD35" s="68">
        <f t="shared" si="7"/>
        <v>17.641789802730706</v>
      </c>
      <c r="AE35" s="3">
        <f t="shared" si="8"/>
        <v>385</v>
      </c>
      <c r="AF35" s="106">
        <f t="shared" si="8"/>
        <v>385</v>
      </c>
      <c r="AG35" s="3">
        <f t="shared" si="8"/>
        <v>881</v>
      </c>
      <c r="AH35" s="9">
        <f t="shared" si="8"/>
        <v>227</v>
      </c>
      <c r="AI35" s="71">
        <f>AG35/IncidenceComplications!W32</f>
        <v>2.2883116883116883</v>
      </c>
      <c r="AJ35" s="71">
        <f>AH35/IncidenceComplications!W32</f>
        <v>0.58961038961038958</v>
      </c>
      <c r="AK35" s="71">
        <f t="shared" si="9"/>
        <v>2.0772119260272564</v>
      </c>
      <c r="AL35" s="71">
        <f t="shared" si="9"/>
        <v>1.3283646652614183</v>
      </c>
      <c r="AM35" s="54">
        <f t="shared" si="10"/>
        <v>10553.709220000001</v>
      </c>
      <c r="AN35" s="51">
        <f t="shared" si="10"/>
        <v>2115.2724870000002</v>
      </c>
      <c r="AO35" s="68">
        <f>AM35/IncidenceComplications!W32</f>
        <v>27.412231740259742</v>
      </c>
      <c r="AP35" s="68">
        <f>AN35/IncidenceComplications!W32</f>
        <v>5.4942142519480521</v>
      </c>
      <c r="AQ35" s="68">
        <f t="shared" si="11"/>
        <v>40.883754542080773</v>
      </c>
      <c r="AR35" s="78">
        <f t="shared" si="11"/>
        <v>12.856632027739758</v>
      </c>
    </row>
    <row r="36" spans="1:52" x14ac:dyDescent="0.25">
      <c r="A36" s="261"/>
      <c r="B36" s="5" t="s">
        <v>4</v>
      </c>
      <c r="C36" s="3">
        <f t="shared" si="0"/>
        <v>11664</v>
      </c>
      <c r="D36" s="9">
        <f t="shared" si="0"/>
        <v>6216</v>
      </c>
      <c r="E36" s="3">
        <f t="shared" si="0"/>
        <v>20594</v>
      </c>
      <c r="F36" s="9">
        <f t="shared" si="0"/>
        <v>9710</v>
      </c>
      <c r="G36" s="37">
        <f>E36/IncidenceComplications!$G33</f>
        <v>0.82182050361147696</v>
      </c>
      <c r="H36" s="37">
        <f>F36/IncidenceComplications!$G33</f>
        <v>0.38748553413943093</v>
      </c>
      <c r="I36" s="71">
        <f t="shared" si="1"/>
        <v>1.201643472099353</v>
      </c>
      <c r="J36" s="71">
        <f t="shared" si="1"/>
        <v>0.82682146739690399</v>
      </c>
      <c r="K36" s="54">
        <f t="shared" si="2"/>
        <v>219249.43589999998</v>
      </c>
      <c r="L36" s="51">
        <f t="shared" si="2"/>
        <v>100401.46890000001</v>
      </c>
      <c r="M36" s="68">
        <f>K36/IncidenceComplications!$G33</f>
        <v>8.7493290195139473</v>
      </c>
      <c r="N36" s="68">
        <f>L36/IncidenceComplications!$G33</f>
        <v>4.0066031725128699</v>
      </c>
      <c r="O36" s="68">
        <f t="shared" si="3"/>
        <v>18.829675649136259</v>
      </c>
      <c r="P36" s="78">
        <f t="shared" si="3"/>
        <v>13.979816922415695</v>
      </c>
      <c r="Q36" s="3">
        <f t="shared" si="4"/>
        <v>917</v>
      </c>
      <c r="R36" s="106">
        <f t="shared" si="4"/>
        <v>917</v>
      </c>
      <c r="S36" s="3">
        <f t="shared" si="4"/>
        <v>1440</v>
      </c>
      <c r="T36" s="9">
        <f t="shared" si="4"/>
        <v>391</v>
      </c>
      <c r="U36" s="37">
        <f>S36/IncidenceComplications!M33</f>
        <v>1.5703380588876772</v>
      </c>
      <c r="V36" s="37">
        <f>T36/IncidenceComplications!M33</f>
        <v>0.42639040348964014</v>
      </c>
      <c r="W36" s="71">
        <f t="shared" si="5"/>
        <v>1.4968005750880935</v>
      </c>
      <c r="X36" s="71">
        <f t="shared" si="5"/>
        <v>0.85561559190200809</v>
      </c>
      <c r="Y36" s="3">
        <f t="shared" si="6"/>
        <v>16446.02044</v>
      </c>
      <c r="Z36" s="9">
        <f t="shared" si="6"/>
        <v>3992.311393</v>
      </c>
      <c r="AA36" s="69">
        <f>Y36/IncidenceComplications!M33</f>
        <v>17.934591537622683</v>
      </c>
      <c r="AB36" s="69">
        <f>Z36/IncidenceComplications!M33</f>
        <v>4.3536656412213741</v>
      </c>
      <c r="AC36" s="68">
        <f t="shared" si="7"/>
        <v>29.932908730662319</v>
      </c>
      <c r="AD36" s="68">
        <f t="shared" si="7"/>
        <v>11.119306105003647</v>
      </c>
      <c r="AE36" s="3">
        <f t="shared" si="8"/>
        <v>658</v>
      </c>
      <c r="AF36" s="106">
        <f t="shared" si="8"/>
        <v>658</v>
      </c>
      <c r="AG36" s="3">
        <f t="shared" si="8"/>
        <v>1093</v>
      </c>
      <c r="AH36" s="9">
        <f t="shared" si="8"/>
        <v>291</v>
      </c>
      <c r="AI36" s="71">
        <f>AG36/IncidenceComplications!W33</f>
        <v>1.6610942249240122</v>
      </c>
      <c r="AJ36" s="71">
        <f>AH36/IncidenceComplications!W33</f>
        <v>0.44224924012158057</v>
      </c>
      <c r="AK36" s="71">
        <f t="shared" si="9"/>
        <v>1.9299417755140928</v>
      </c>
      <c r="AL36" s="71">
        <f t="shared" si="9"/>
        <v>0.81420377761411433</v>
      </c>
      <c r="AM36" s="54">
        <f t="shared" si="10"/>
        <v>14598.41063</v>
      </c>
      <c r="AN36" s="51">
        <f t="shared" si="10"/>
        <v>3561.7901569999999</v>
      </c>
      <c r="AO36" s="68">
        <f>AM36/IncidenceComplications!W33</f>
        <v>22.186034392097266</v>
      </c>
      <c r="AP36" s="68">
        <f>AN36/IncidenceComplications!W33</f>
        <v>5.413054949848024</v>
      </c>
      <c r="AQ36" s="68">
        <f t="shared" si="11"/>
        <v>30.415263109349659</v>
      </c>
      <c r="AR36" s="78">
        <f t="shared" si="11"/>
        <v>20.033250835807443</v>
      </c>
    </row>
    <row r="37" spans="1:52" x14ac:dyDescent="0.25">
      <c r="A37" s="261"/>
      <c r="B37" s="5" t="s">
        <v>5</v>
      </c>
      <c r="C37" s="3">
        <f t="shared" si="0"/>
        <v>21426</v>
      </c>
      <c r="D37" s="9">
        <f t="shared" si="0"/>
        <v>11685</v>
      </c>
      <c r="E37" s="3">
        <f t="shared" si="0"/>
        <v>41215</v>
      </c>
      <c r="F37" s="9">
        <f t="shared" si="0"/>
        <v>20306</v>
      </c>
      <c r="G37" s="37">
        <f>E37/IncidenceComplications!$G34</f>
        <v>1.0425994788899851</v>
      </c>
      <c r="H37" s="37">
        <f>F37/IncidenceComplications!$G34</f>
        <v>0.51367281374111462</v>
      </c>
      <c r="I37" s="71">
        <f t="shared" si="1"/>
        <v>1.3896446353322227</v>
      </c>
      <c r="J37" s="71">
        <f t="shared" si="1"/>
        <v>1.0141426054131593</v>
      </c>
      <c r="K37" s="54">
        <f t="shared" si="2"/>
        <v>467292.98300000001</v>
      </c>
      <c r="L37" s="51">
        <f t="shared" si="2"/>
        <v>230159.65970000002</v>
      </c>
      <c r="M37" s="68">
        <f>K37/IncidenceComplications!$G34</f>
        <v>11.820924919683288</v>
      </c>
      <c r="N37" s="68">
        <f>L37/IncidenceComplications!$G34</f>
        <v>5.8222574612329572</v>
      </c>
      <c r="O37" s="68">
        <f t="shared" si="3"/>
        <v>24.152749591463532</v>
      </c>
      <c r="P37" s="78">
        <f t="shared" si="3"/>
        <v>19.478282167843897</v>
      </c>
      <c r="Q37" s="3">
        <f t="shared" si="4"/>
        <v>1215</v>
      </c>
      <c r="R37" s="106">
        <f t="shared" si="4"/>
        <v>1215</v>
      </c>
      <c r="S37" s="3">
        <f t="shared" si="4"/>
        <v>2183</v>
      </c>
      <c r="T37" s="9">
        <f t="shared" si="4"/>
        <v>677</v>
      </c>
      <c r="U37" s="37">
        <f>S37/IncidenceComplications!M34</f>
        <v>1.7967078189300412</v>
      </c>
      <c r="V37" s="37">
        <f>T37/IncidenceComplications!M34</f>
        <v>0.55720164609053502</v>
      </c>
      <c r="W37" s="71">
        <f t="shared" si="5"/>
        <v>1.8280714950185144</v>
      </c>
      <c r="X37" s="71">
        <f t="shared" si="5"/>
        <v>1.1022264446512919</v>
      </c>
      <c r="Y37" s="3">
        <f t="shared" si="6"/>
        <v>26600.616620000001</v>
      </c>
      <c r="Z37" s="9">
        <f t="shared" si="6"/>
        <v>7989.5060400000002</v>
      </c>
      <c r="AA37" s="69">
        <f>Y37/IncidenceComplications!M34</f>
        <v>21.893511621399178</v>
      </c>
      <c r="AB37" s="69">
        <f>Z37/IncidenceComplications!M34</f>
        <v>6.5757251358024691</v>
      </c>
      <c r="AC37" s="68">
        <f t="shared" si="7"/>
        <v>35.022349731075948</v>
      </c>
      <c r="AD37" s="68">
        <f t="shared" si="7"/>
        <v>19.702379400148409</v>
      </c>
      <c r="AE37" s="3">
        <f t="shared" si="8"/>
        <v>1712</v>
      </c>
      <c r="AF37" s="106">
        <f t="shared" si="8"/>
        <v>1712</v>
      </c>
      <c r="AG37" s="3">
        <f t="shared" si="8"/>
        <v>3090</v>
      </c>
      <c r="AH37" s="9">
        <f t="shared" si="8"/>
        <v>912</v>
      </c>
      <c r="AI37" s="71">
        <f>AG37/IncidenceComplications!W34</f>
        <v>1.8049065420560748</v>
      </c>
      <c r="AJ37" s="71">
        <f>AH37/IncidenceComplications!W34</f>
        <v>0.53271028037383172</v>
      </c>
      <c r="AK37" s="71">
        <f t="shared" si="9"/>
        <v>1.8435417423935405</v>
      </c>
      <c r="AL37" s="71">
        <f t="shared" si="9"/>
        <v>0.98940099282899219</v>
      </c>
      <c r="AM37" s="54">
        <f t="shared" si="10"/>
        <v>41150.041240000006</v>
      </c>
      <c r="AN37" s="51">
        <f t="shared" si="10"/>
        <v>10016.253570000001</v>
      </c>
      <c r="AO37" s="68">
        <f>AM37/IncidenceComplications!W34</f>
        <v>24.036239042056078</v>
      </c>
      <c r="AP37" s="68">
        <f>AN37/IncidenceComplications!W34</f>
        <v>5.8506154030373834</v>
      </c>
      <c r="AQ37" s="68">
        <f t="shared" si="11"/>
        <v>35.670586617498415</v>
      </c>
      <c r="AR37" s="78">
        <f t="shared" si="11"/>
        <v>15.108672619606166</v>
      </c>
    </row>
    <row r="38" spans="1:52" x14ac:dyDescent="0.25">
      <c r="A38" s="261"/>
      <c r="B38" s="6" t="s">
        <v>6</v>
      </c>
      <c r="C38" s="10">
        <f t="shared" si="0"/>
        <v>5453</v>
      </c>
      <c r="D38" s="11">
        <f t="shared" si="0"/>
        <v>3153</v>
      </c>
      <c r="E38" s="10">
        <f t="shared" si="0"/>
        <v>11876</v>
      </c>
      <c r="F38" s="11">
        <f t="shared" si="0"/>
        <v>6300</v>
      </c>
      <c r="G38" s="39">
        <f>E38/IncidenceComplications!$G35</f>
        <v>1.2884886622545297</v>
      </c>
      <c r="H38" s="39">
        <f>F38/IncidenceComplications!$G35</f>
        <v>0.68351958337853969</v>
      </c>
      <c r="I38" s="39">
        <f t="shared" si="1"/>
        <v>1.6664819773115114</v>
      </c>
      <c r="J38" s="39">
        <f t="shared" si="1"/>
        <v>1.3327097708231959</v>
      </c>
      <c r="K38" s="55">
        <f t="shared" si="2"/>
        <v>147463.37290000002</v>
      </c>
      <c r="L38" s="50">
        <f t="shared" si="2"/>
        <v>79243.887099999993</v>
      </c>
      <c r="M38" s="75">
        <f>K38/IncidenceComplications!$G35</f>
        <v>15.999064001301944</v>
      </c>
      <c r="N38" s="75">
        <f>L38/IncidenceComplications!$G35</f>
        <v>8.5975791580774654</v>
      </c>
      <c r="O38" s="75">
        <f t="shared" si="3"/>
        <v>32.286190723716544</v>
      </c>
      <c r="P38" s="79">
        <f t="shared" si="3"/>
        <v>25.390186706017818</v>
      </c>
      <c r="Q38" s="3">
        <f t="shared" si="4"/>
        <v>334</v>
      </c>
      <c r="R38" s="107">
        <f t="shared" si="4"/>
        <v>334</v>
      </c>
      <c r="S38" s="10">
        <f t="shared" si="4"/>
        <v>582</v>
      </c>
      <c r="T38" s="11">
        <f t="shared" si="4"/>
        <v>221</v>
      </c>
      <c r="U38" s="39">
        <f>S38/IncidenceComplications!M35</f>
        <v>1.7425149700598803</v>
      </c>
      <c r="V38" s="39">
        <f>T38/IncidenceComplications!M35</f>
        <v>0.66167664670658688</v>
      </c>
      <c r="W38" s="39">
        <f t="shared" si="5"/>
        <v>1.6660280393999347</v>
      </c>
      <c r="X38" s="39">
        <f t="shared" si="5"/>
        <v>1.2162473009971366</v>
      </c>
      <c r="Y38" s="10">
        <f t="shared" si="6"/>
        <v>7099.4575999999997</v>
      </c>
      <c r="Z38" s="11">
        <f t="shared" si="6"/>
        <v>2817.4345549999998</v>
      </c>
      <c r="AA38" s="75">
        <f>Y38/IncidenceComplications!M35</f>
        <v>21.255861077844312</v>
      </c>
      <c r="AB38" s="75">
        <f>Z38/IncidenceComplications!M35</f>
        <v>8.4354327994011964</v>
      </c>
      <c r="AC38" s="75">
        <f t="shared" si="7"/>
        <v>25.995186339506557</v>
      </c>
      <c r="AD38" s="75">
        <f t="shared" si="7"/>
        <v>19.525056857545184</v>
      </c>
      <c r="AE38" s="3">
        <f t="shared" si="8"/>
        <v>814</v>
      </c>
      <c r="AF38" s="107">
        <f t="shared" si="8"/>
        <v>814</v>
      </c>
      <c r="AG38" s="10">
        <f t="shared" si="8"/>
        <v>1434</v>
      </c>
      <c r="AH38" s="11">
        <f t="shared" si="8"/>
        <v>614</v>
      </c>
      <c r="AI38" s="39">
        <f>AG38/IncidenceComplications!W35</f>
        <v>1.7616707616707616</v>
      </c>
      <c r="AJ38" s="39">
        <f>AH38/IncidenceComplications!W35</f>
        <v>0.75429975429975427</v>
      </c>
      <c r="AK38" s="39">
        <f t="shared" si="9"/>
        <v>2.0762279530188503</v>
      </c>
      <c r="AL38" s="39">
        <f t="shared" si="9"/>
        <v>1.663353212539382</v>
      </c>
      <c r="AM38" s="55">
        <f t="shared" si="10"/>
        <v>20000.180240000002</v>
      </c>
      <c r="AN38" s="50">
        <f t="shared" si="10"/>
        <v>7521.4215799999993</v>
      </c>
      <c r="AO38" s="75">
        <f>AM38/IncidenceComplications!W35</f>
        <v>24.570245995085997</v>
      </c>
      <c r="AP38" s="75">
        <f>AN38/IncidenceComplications!W35</f>
        <v>9.2400756511056503</v>
      </c>
      <c r="AQ38" s="75">
        <f t="shared" si="11"/>
        <v>34.551335721982461</v>
      </c>
      <c r="AR38" s="79">
        <f t="shared" si="11"/>
        <v>23.926593975921161</v>
      </c>
    </row>
    <row r="39" spans="1:52" ht="15.75" thickBot="1" x14ac:dyDescent="0.3">
      <c r="A39" s="262"/>
      <c r="B39" s="15" t="s">
        <v>14</v>
      </c>
      <c r="C39" s="16">
        <f>SUM(C32:C38)</f>
        <v>54577</v>
      </c>
      <c r="D39" s="17">
        <f>SUM(D32:D38)</f>
        <v>30812</v>
      </c>
      <c r="E39" s="16">
        <f>SUM(E32:E38)</f>
        <v>127550</v>
      </c>
      <c r="F39" s="17">
        <f>SUM(F32:F38)</f>
        <v>65269</v>
      </c>
      <c r="G39" s="40">
        <f>E39/IncidenceComplications!$G36</f>
        <v>1.3413749224410816</v>
      </c>
      <c r="H39" s="40">
        <f>F39/IncidenceComplications!$G36</f>
        <v>0.68639905772486831</v>
      </c>
      <c r="I39" s="40">
        <f t="array" ref="I39">SQRT(AVERAGE(I32:I38^2))</f>
        <v>2.1671996875315083</v>
      </c>
      <c r="J39" s="40">
        <f t="array" ref="J39">SQRT(AVERAGE(J32:J38^2))</f>
        <v>1.7550844603606912</v>
      </c>
      <c r="K39" s="74">
        <f>SUM(K32:K38)</f>
        <v>1192844.74819</v>
      </c>
      <c r="L39" s="57">
        <f>SUM(L32:L38)</f>
        <v>600395.18033</v>
      </c>
      <c r="M39" s="77">
        <f>K39/IncidenceComplications!$G36</f>
        <v>12.544508283713153</v>
      </c>
      <c r="N39" s="77">
        <f>L39/IncidenceComplications!$G36</f>
        <v>6.3140340137134681</v>
      </c>
      <c r="O39" s="77">
        <f t="array" ref="O39">SQRT(AVERAGE(O32:O38^2))</f>
        <v>28.811921575932249</v>
      </c>
      <c r="P39" s="80">
        <f t="array" ref="P39">SQRT(AVERAGE(P32:P38^2))</f>
        <v>26.526973409061426</v>
      </c>
      <c r="Q39" s="16">
        <f>SUM(Q32:Q38)</f>
        <v>6462</v>
      </c>
      <c r="R39" s="108">
        <f>SUM(R32:R38)</f>
        <v>6462</v>
      </c>
      <c r="S39" s="16">
        <f>SUM(S32:S38)</f>
        <v>21908</v>
      </c>
      <c r="T39" s="17">
        <f>SUM(T32:T38)</f>
        <v>9204</v>
      </c>
      <c r="U39" s="40">
        <f>S39/IncidenceComplications!M36</f>
        <v>3.3902816465490559</v>
      </c>
      <c r="V39" s="40">
        <f>T39/IncidenceComplications!M36</f>
        <v>1.4243268337975858</v>
      </c>
      <c r="W39" s="40">
        <f t="array" ref="W39">SQRT(AVERAGE(W32:W38^2))</f>
        <v>2.5096416168432305</v>
      </c>
      <c r="X39" s="40">
        <f t="array" ref="X39">SQRT(AVERAGE(X32:X38^2))</f>
        <v>1.8142224262108164</v>
      </c>
      <c r="Y39" s="16">
        <f>SUM(Y32:Y38)</f>
        <v>160917.57970999999</v>
      </c>
      <c r="Z39" s="17">
        <f>SUM(Z32:Z38)</f>
        <v>61038.937687999998</v>
      </c>
      <c r="AA39" s="77">
        <f>Y39/IncidenceComplications!M36</f>
        <v>24.902132421850819</v>
      </c>
      <c r="AB39" s="77">
        <f>Z39/IncidenceComplications!M36</f>
        <v>9.445827559269576</v>
      </c>
      <c r="AC39" s="77">
        <f t="array" ref="AC39">SQRT(AVERAGE(AC32:AC38^2))</f>
        <v>26.536109661627101</v>
      </c>
      <c r="AD39" s="77">
        <f t="array" ref="AD39">SQRT(AVERAGE(AD32:AD38^2))</f>
        <v>16.831563735507238</v>
      </c>
      <c r="AE39" s="16">
        <f>SUM(AE32:AE38)</f>
        <v>4832</v>
      </c>
      <c r="AF39" s="108">
        <f>SUM(AF32:AF38)</f>
        <v>4832</v>
      </c>
      <c r="AG39" s="16">
        <f>SUM(AG32:AG38)</f>
        <v>12297</v>
      </c>
      <c r="AH39" s="17">
        <f>SUM(AH32:AH38)</f>
        <v>4900</v>
      </c>
      <c r="AI39" s="40">
        <f>AG39/IncidenceComplications!W36</f>
        <v>2.544908940397351</v>
      </c>
      <c r="AJ39" s="40">
        <f>AH39/IncidenceComplications!W36</f>
        <v>1.0140728476821192</v>
      </c>
      <c r="AK39" s="40">
        <f t="array" ref="AK39">SQRT(AVERAGE(AK32:AK38^2))</f>
        <v>2.747828033641317</v>
      </c>
      <c r="AL39" s="40">
        <f t="array" ref="AL39">SQRT(AVERAGE(AL32:AL38^2))</f>
        <v>1.8070867147077441</v>
      </c>
      <c r="AM39" s="74">
        <f>SUM(AM32:AM38)</f>
        <v>124387.72712</v>
      </c>
      <c r="AN39" s="57">
        <f>SUM(AN32:AN38)</f>
        <v>39432.83771</v>
      </c>
      <c r="AO39" s="77">
        <f>AM39/IncidenceComplications!W36</f>
        <v>25.742493195364236</v>
      </c>
      <c r="AP39" s="77">
        <f>AN39/IncidenceComplications!W36</f>
        <v>8.1607693936258272</v>
      </c>
      <c r="AQ39" s="77">
        <f t="array" ref="AQ39">SQRT(AVERAGE(AQ32:AQ38^2))</f>
        <v>31.83327693433894</v>
      </c>
      <c r="AR39" s="80">
        <f t="array" ref="AR39">SQRT(AVERAGE(AR32:AR38^2))</f>
        <v>17.883906437466575</v>
      </c>
    </row>
    <row r="40" spans="1:52" ht="15.75" thickTop="1" x14ac:dyDescent="0.25"/>
    <row r="43" spans="1:52" x14ac:dyDescent="0.25">
      <c r="A43" s="268" t="s">
        <v>33</v>
      </c>
      <c r="B43" s="268"/>
      <c r="C43" s="190"/>
      <c r="D43" s="191"/>
      <c r="E43" s="2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277" t="s">
        <v>22</v>
      </c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9"/>
      <c r="AK43" s="264" t="s">
        <v>23</v>
      </c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65"/>
    </row>
    <row r="44" spans="1:52" x14ac:dyDescent="0.25">
      <c r="A44" s="268"/>
      <c r="B44" s="268"/>
      <c r="C44" s="190"/>
      <c r="D44" s="191"/>
      <c r="E44" s="264" t="s">
        <v>29</v>
      </c>
      <c r="F44" s="255"/>
      <c r="G44" s="255"/>
      <c r="H44" s="255"/>
      <c r="I44" s="255"/>
      <c r="J44" s="255"/>
      <c r="K44" s="255"/>
      <c r="L44" s="265"/>
      <c r="M44" s="264" t="s">
        <v>30</v>
      </c>
      <c r="N44" s="255"/>
      <c r="O44" s="255"/>
      <c r="P44" s="255"/>
      <c r="Q44" s="255"/>
      <c r="R44" s="255"/>
      <c r="S44" s="255"/>
      <c r="T44" s="265"/>
      <c r="U44" s="264" t="s">
        <v>47</v>
      </c>
      <c r="V44" s="255"/>
      <c r="W44" s="255"/>
      <c r="X44" s="255"/>
      <c r="Y44" s="255"/>
      <c r="Z44" s="255"/>
      <c r="AA44" s="255"/>
      <c r="AB44" s="265"/>
      <c r="AC44" s="264" t="s">
        <v>30</v>
      </c>
      <c r="AD44" s="255"/>
      <c r="AE44" s="255"/>
      <c r="AF44" s="255"/>
      <c r="AG44" s="255"/>
      <c r="AH44" s="255"/>
      <c r="AI44" s="255"/>
      <c r="AJ44" s="265"/>
      <c r="AK44" s="264" t="s">
        <v>37</v>
      </c>
      <c r="AL44" s="255"/>
      <c r="AM44" s="255"/>
      <c r="AN44" s="255"/>
      <c r="AO44" s="255"/>
      <c r="AP44" s="255"/>
      <c r="AQ44" s="255"/>
      <c r="AR44" s="265"/>
      <c r="AS44" s="264" t="s">
        <v>30</v>
      </c>
      <c r="AT44" s="255"/>
      <c r="AU44" s="255"/>
      <c r="AV44" s="255"/>
      <c r="AW44" s="255"/>
      <c r="AX44" s="255"/>
      <c r="AY44" s="255"/>
      <c r="AZ44" s="265"/>
    </row>
    <row r="45" spans="1:52" x14ac:dyDescent="0.25">
      <c r="A45" s="268"/>
      <c r="B45" s="268"/>
      <c r="C45" s="275" t="s">
        <v>48</v>
      </c>
      <c r="D45" s="276"/>
      <c r="E45" s="266" t="s">
        <v>16</v>
      </c>
      <c r="F45" s="267"/>
      <c r="G45" s="274"/>
      <c r="H45" s="264" t="s">
        <v>44</v>
      </c>
      <c r="I45" s="255"/>
      <c r="J45" s="255"/>
      <c r="K45" s="255"/>
      <c r="L45" s="265"/>
      <c r="M45" s="266" t="s">
        <v>16</v>
      </c>
      <c r="N45" s="267"/>
      <c r="O45" s="274"/>
      <c r="P45" s="264" t="s">
        <v>44</v>
      </c>
      <c r="Q45" s="255"/>
      <c r="R45" s="255"/>
      <c r="S45" s="255"/>
      <c r="T45" s="265"/>
      <c r="U45" s="266" t="s">
        <v>16</v>
      </c>
      <c r="V45" s="267"/>
      <c r="W45" s="274"/>
      <c r="X45" s="264" t="s">
        <v>44</v>
      </c>
      <c r="Y45" s="255"/>
      <c r="Z45" s="255"/>
      <c r="AA45" s="255"/>
      <c r="AB45" s="265"/>
      <c r="AC45" s="266" t="s">
        <v>16</v>
      </c>
      <c r="AD45" s="267"/>
      <c r="AE45" s="274"/>
      <c r="AF45" s="264" t="s">
        <v>44</v>
      </c>
      <c r="AG45" s="255"/>
      <c r="AH45" s="255"/>
      <c r="AI45" s="255"/>
      <c r="AJ45" s="265"/>
      <c r="AK45" s="266" t="s">
        <v>16</v>
      </c>
      <c r="AL45" s="267"/>
      <c r="AM45" s="267"/>
      <c r="AN45" s="255" t="s">
        <v>44</v>
      </c>
      <c r="AO45" s="255"/>
      <c r="AP45" s="255"/>
      <c r="AQ45" s="255"/>
      <c r="AR45" s="265"/>
      <c r="AS45" s="266" t="s">
        <v>16</v>
      </c>
      <c r="AT45" s="267"/>
      <c r="AU45" s="267"/>
      <c r="AV45" s="255" t="s">
        <v>44</v>
      </c>
      <c r="AW45" s="255"/>
      <c r="AX45" s="255"/>
      <c r="AY45" s="255"/>
      <c r="AZ45" s="265"/>
    </row>
    <row r="46" spans="1:52" x14ac:dyDescent="0.25">
      <c r="A46" s="6" t="s">
        <v>7</v>
      </c>
      <c r="B46" s="6" t="s">
        <v>8</v>
      </c>
      <c r="C46" s="280"/>
      <c r="D46" s="281"/>
      <c r="E46" s="149" t="s">
        <v>26</v>
      </c>
      <c r="F46" s="150" t="s">
        <v>27</v>
      </c>
      <c r="G46" s="151" t="s">
        <v>28</v>
      </c>
      <c r="H46" s="153" t="s">
        <v>42</v>
      </c>
      <c r="I46" s="151" t="s">
        <v>43</v>
      </c>
      <c r="J46" s="151" t="s">
        <v>32</v>
      </c>
      <c r="K46" s="151" t="s">
        <v>31</v>
      </c>
      <c r="L46" s="150" t="s">
        <v>46</v>
      </c>
      <c r="M46" s="149" t="s">
        <v>26</v>
      </c>
      <c r="N46" s="150" t="s">
        <v>27</v>
      </c>
      <c r="O46" s="151" t="s">
        <v>28</v>
      </c>
      <c r="P46" s="153" t="s">
        <v>42</v>
      </c>
      <c r="Q46" s="151" t="s">
        <v>43</v>
      </c>
      <c r="R46" s="151" t="s">
        <v>32</v>
      </c>
      <c r="S46" s="151" t="s">
        <v>31</v>
      </c>
      <c r="T46" s="150" t="s">
        <v>41</v>
      </c>
      <c r="U46" s="149" t="s">
        <v>26</v>
      </c>
      <c r="V46" s="150" t="s">
        <v>27</v>
      </c>
      <c r="W46" s="151" t="s">
        <v>28</v>
      </c>
      <c r="X46" s="153" t="s">
        <v>42</v>
      </c>
      <c r="Y46" s="151" t="s">
        <v>43</v>
      </c>
      <c r="Z46" s="151" t="s">
        <v>32</v>
      </c>
      <c r="AA46" s="151" t="s">
        <v>31</v>
      </c>
      <c r="AB46" s="150" t="s">
        <v>46</v>
      </c>
      <c r="AC46" s="149" t="s">
        <v>26</v>
      </c>
      <c r="AD46" s="150" t="s">
        <v>27</v>
      </c>
      <c r="AE46" s="151" t="s">
        <v>28</v>
      </c>
      <c r="AF46" s="153" t="s">
        <v>42</v>
      </c>
      <c r="AG46" s="151" t="s">
        <v>43</v>
      </c>
      <c r="AH46" s="151" t="s">
        <v>32</v>
      </c>
      <c r="AI46" s="151" t="s">
        <v>31</v>
      </c>
      <c r="AJ46" s="150" t="s">
        <v>41</v>
      </c>
      <c r="AK46" s="149" t="s">
        <v>26</v>
      </c>
      <c r="AL46" s="150" t="s">
        <v>27</v>
      </c>
      <c r="AM46" s="151" t="s">
        <v>28</v>
      </c>
      <c r="AN46" s="151" t="s">
        <v>42</v>
      </c>
      <c r="AO46" s="151" t="s">
        <v>43</v>
      </c>
      <c r="AP46" s="151" t="s">
        <v>32</v>
      </c>
      <c r="AQ46" s="151" t="s">
        <v>31</v>
      </c>
      <c r="AR46" s="150" t="s">
        <v>41</v>
      </c>
      <c r="AS46" s="149" t="s">
        <v>26</v>
      </c>
      <c r="AT46" s="150" t="s">
        <v>27</v>
      </c>
      <c r="AU46" s="151" t="s">
        <v>28</v>
      </c>
      <c r="AV46" s="151" t="s">
        <v>42</v>
      </c>
      <c r="AW46" s="151" t="s">
        <v>43</v>
      </c>
      <c r="AX46" s="151" t="s">
        <v>32</v>
      </c>
      <c r="AY46" s="151" t="s">
        <v>31</v>
      </c>
      <c r="AZ46" s="152" t="s">
        <v>41</v>
      </c>
    </row>
    <row r="47" spans="1:52" x14ac:dyDescent="0.25">
      <c r="A47" s="260">
        <v>2012</v>
      </c>
      <c r="B47" s="12" t="s">
        <v>0</v>
      </c>
      <c r="C47" s="192">
        <f>Pharmaceutical!C7/IncidenceComplications!$G4</f>
        <v>0.87394957983193278</v>
      </c>
      <c r="D47" s="192">
        <f>Pharmaceutical!D7/IncidenceComplications!$G4</f>
        <v>0.6470588235294118</v>
      </c>
      <c r="E47" s="3">
        <f>Pharmaceutical!E7-Pharmaceutical!F7</f>
        <v>745</v>
      </c>
      <c r="F47" s="37">
        <f>Pharmaceutical!G7-Pharmaceutical!H7</f>
        <v>1.5651260504201683</v>
      </c>
      <c r="G47" s="37">
        <f>SQRT(Pharmaceutical!I7^2+Pharmaceutical!J7^2)</f>
        <v>3.7097591713419305</v>
      </c>
      <c r="H47" s="146">
        <f>(Pharmaceutical!$C7-1)*Pharmaceutical!$I7+(Pharmaceutical!$D7-1)*Pharmaceutical!$J7/(Pharmaceutical!$C7+Pharmaceutical!$D7-2)</f>
        <v>1172.9169993285595</v>
      </c>
      <c r="I47" s="37">
        <f>ABS(F47)/(SQRT((Pharmaceutical!I7/Pharmaceutical!$C7)+(Pharmaceutical!J7/Pharmaceutical!$D7)))</f>
        <v>12.953358275149144</v>
      </c>
      <c r="J47" s="146">
        <f>(Pharmaceutical!I7^2/Pharmaceutical!$C7+Pharmaceutical!J7^2/Pharmaceutical!$D7)/((Pharmaceutical!I7^2/Pharmaceutical!$C7)/(Pharmaceutical!$C7-1)+(Pharmaceutical!J7^2/Pharmaceutical!$D7)/(Pharmaceutical!$D7-1))</f>
        <v>353.44538562202672</v>
      </c>
      <c r="K47" s="23">
        <f t="shared" ref="K47:K79" si="12">_xlfn.T.INV.2T(0.05,J47)</f>
        <v>1.9667070086880059</v>
      </c>
      <c r="L47" s="26">
        <f t="shared" ref="L47:L79" si="13">_xlfn.T.DIST.2T(I47,J47)</f>
        <v>1.1548140975153453E-31</v>
      </c>
      <c r="M47" s="54">
        <f>Pharmaceutical!K7-Pharmaceutical!L7</f>
        <v>3420.1440499999999</v>
      </c>
      <c r="N47" s="69">
        <f>Pharmaceutical!M7-Pharmaceutical!N7</f>
        <v>7.1851765756302521</v>
      </c>
      <c r="O47" s="49">
        <f>SQRT(Pharmaceutical!O7^2+Pharmaceutical!P7^2)</f>
        <v>20.165273653381348</v>
      </c>
      <c r="P47" s="146">
        <f>(Pharmaceutical!$C7-1)*Pharmaceutical!$O7+(Pharmaceutical!$D7-1)*Pharmaceutical!$P7/(Pharmaceutical!$C7+Pharmaceutical!$D7-2)</f>
        <v>6374.0372921783928</v>
      </c>
      <c r="Q47" s="37">
        <f>ABS(N47)/(SQRT((Pharmaceutical!O7/Pharmaceutical!$C7)+(Pharmaceutical!P7/Pharmaceutical!$D7)))</f>
        <v>25.505049477096851</v>
      </c>
      <c r="R47" s="146">
        <f>(Pharmaceutical!O7^2/Pharmaceutical!$C7+Pharmaceutical!P7^2/Pharmaceutical!$D7)/((Pharmaceutical!O7^2/Pharmaceutical!$C7)/(Pharmaceutical!$C7-1)+(Pharmaceutical!P7^2/Pharmaceutical!$D7)/(Pharmaceutical!$D7-1))</f>
        <v>353.41313554409493</v>
      </c>
      <c r="S47" s="23">
        <f t="shared" ref="S47:S79" si="14">_xlfn.T.INV.2T(0.05,R47)</f>
        <v>1.9667070086880059</v>
      </c>
      <c r="T47" s="26">
        <f t="shared" ref="T47:T79" si="15">_xlfn.T.DIST.2T(Q47,R47)</f>
        <v>4.3157849579863702E-82</v>
      </c>
      <c r="U47" s="2">
        <f>Pharmaceutical!S7-Pharmaceutical!T7</f>
        <v>455</v>
      </c>
      <c r="V47" s="37">
        <f>Pharmaceutical!U7-Pharmaceutical!V7</f>
        <v>3.4469696969696968</v>
      </c>
      <c r="W47" s="37">
        <f>SQRT(Pharmaceutical!W7^2+Pharmaceutical!X7^2)</f>
        <v>3.9328080208446483</v>
      </c>
      <c r="X47" s="146">
        <f>(Pharmaceutical!$Q7-1)*Pharmaceutical!$W7+(Pharmaceutical!$R7-1)*Pharmaceutical!$X7/(Pharmaceutical!$Q7+Pharmaceutical!$R7-2)</f>
        <v>404.53158447999999</v>
      </c>
      <c r="Y47" s="37">
        <f>ABS(V47)/(SQRT((Pharmaceutical!W7/Pharmaceutical!$Q7)+(Pharmaceutical!X7/Pharmaceutical!$R7)))</f>
        <v>16.84707135066893</v>
      </c>
      <c r="Z47" s="146">
        <f>(Pharmaceutical!W7^2/Pharmaceutical!$Q7+Pharmaceutical!X7^2/Pharmaceutical!$R7)/((Pharmaceutical!W7^2/Pharmaceutical!$Q7)/(Pharmaceutical!$Q7-1)+(Pharmaceutical!X7^2/Pharmaceutical!$R7)/(Pharmaceutical!$R7-1))</f>
        <v>131</v>
      </c>
      <c r="AA47" s="23">
        <f t="shared" ref="AA47:AA79" si="16">_xlfn.T.INV.2T(0.05,Z47)</f>
        <v>1.9782385392303834</v>
      </c>
      <c r="AB47" s="26">
        <f t="shared" ref="AB47:AB79" si="17">_xlfn.T.DIST.2T(Y47,Z47)</f>
        <v>1.3632873492890451E-34</v>
      </c>
      <c r="AC47" s="54">
        <f>Pharmaceutical!Y7-Pharmaceutical!Z7</f>
        <v>2221.2193100000004</v>
      </c>
      <c r="AD47" s="69">
        <f>Pharmaceutical!AA7-Pharmaceutical!AB7</f>
        <v>16.827419015151513</v>
      </c>
      <c r="AE47" s="49">
        <f>SQRT(Pharmaceutical!AC7^2+Pharmaceutical!AD7^2)</f>
        <v>23.429526761459666</v>
      </c>
      <c r="AF47" s="146">
        <f>(Pharmaceutical!$Q7-1)*Pharmaceutical!$AC7+(Pharmaceutical!$R7-1)*Pharmaceutical!$AD7/(Pharmaceutical!$Q7+Pharmaceutical!$R7-2)</f>
        <v>2245.7920645999998</v>
      </c>
      <c r="AG47" s="37">
        <f>ABS(AD47)/(SQRT((Pharmaceutical!AC7/Pharmaceutical!$Q7)+(Pharmaceutical!AD7/Pharmaceutical!$R7)))</f>
        <v>33.594920051828019</v>
      </c>
      <c r="AH47" s="146">
        <f>(Pharmaceutical!AC7^2/Pharmaceutical!$Q7+Pharmaceutical!AD7^2/Pharmaceutical!$R7)/((Pharmaceutical!AC7^2/Pharmaceutical!$Q7)/(Pharmaceutical!$Q7-1)+(Pharmaceutical!AD7^2/Pharmaceutical!$R7)/(Pharmaceutical!$R7-1))</f>
        <v>130.99999999999997</v>
      </c>
      <c r="AI47" s="23">
        <f t="shared" ref="AI47:AI79" si="18">_xlfn.T.INV.2T(0.05,AH47)</f>
        <v>1.9783804054470222</v>
      </c>
      <c r="AJ47" s="26">
        <f t="shared" ref="AJ47:AJ79" si="19">_xlfn.T.DIST.2T(AG47,AH47)</f>
        <v>6.0342842715891134E-66</v>
      </c>
      <c r="AK47" s="2">
        <f>Pharmaceutical!AG7-Pharmaceutical!AH7</f>
        <v>141</v>
      </c>
      <c r="AL47" s="37">
        <f>Pharmaceutical!AI7-Pharmaceutical!AJ7</f>
        <v>2.3114754098360657</v>
      </c>
      <c r="AM47" s="37">
        <f>SQRT(Pharmaceutical!AK7^2+Pharmaceutical!AL7^2)</f>
        <v>4.1891089572368623</v>
      </c>
      <c r="AN47" s="146">
        <f>(Pharmaceutical!$AE7-1)*Pharmaceutical!$AK7+(Pharmaceutical!$AF7-1)*Pharmaceutical!$AL7/(Pharmaceutical!$AE7+Pharmaceutical!$AF7-2)</f>
        <v>210.17044230000002</v>
      </c>
      <c r="AO47" s="37">
        <f>ABS(AL47)/(SQRT((Pharmaceutical!AK7/Pharmaceutical!$AE7)+(Pharmaceutical!AL7/Pharmaceutical!$AF7)))</f>
        <v>7.4895390819325707</v>
      </c>
      <c r="AP47" s="146">
        <f>(Pharmaceutical!AK7^2/Pharmaceutical!$AE7+Pharmaceutical!AL7^2/Pharmaceutical!$AF7)/((Pharmaceutical!AK7^2/Pharmaceutical!$AE7)/(Pharmaceutical!$AE7-1)+(Pharmaceutical!AL7^2/Pharmaceutical!$AF7)/(Pharmaceutical!$AF7-1))</f>
        <v>60</v>
      </c>
      <c r="AQ47" s="23">
        <f t="shared" ref="AQ47:AQ79" si="20">_xlfn.T.INV.2T(0.05,AP47)</f>
        <v>2.0002978220142609</v>
      </c>
      <c r="AR47" s="26">
        <f t="shared" ref="AR47:AR79" si="21">_xlfn.T.DIST.2T(AO47,AP47)</f>
        <v>3.6486645259475666E-10</v>
      </c>
      <c r="AS47" s="54">
        <f>Pharmaceutical!AM7-Pharmaceutical!AN7</f>
        <v>676.466363</v>
      </c>
      <c r="AT47" s="69">
        <f>Pharmaceutical!AO7-Pharmaceutical!AP7</f>
        <v>11.089612508196723</v>
      </c>
      <c r="AU47" s="49">
        <f>SQRT(Pharmaceutical!AQ7^2+Pharmaceutical!AR7^2)</f>
        <v>27.409289300315951</v>
      </c>
      <c r="AV47" s="146">
        <f>(Pharmaceutical!$AE7-1)*Pharmaceutical!$AQ7+(Pharmaceutical!$AF7-1)*Pharmaceutical!$AR7/(Pharmaceutical!$AE7+Pharmaceutical!$AF7-2)</f>
        <v>1106.48913545</v>
      </c>
      <c r="AW47" s="37">
        <f>ABS(AT47)/(SQRT((Pharmaceutical!AQ7/Pharmaceutical!$AE7)+(Pharmaceutical!AR7/Pharmaceutical!$AF7)))</f>
        <v>13.92234965267347</v>
      </c>
      <c r="AX47" s="146">
        <f>(Pharmaceutical!AQ7^2/Pharmaceutical!$AE7+Pharmaceutical!AR7^2/Pharmaceutical!$AF7)/((Pharmaceutical!AQ7^2/Pharmaceutical!$AE7)/(Pharmaceutical!$AE7-1)+(Pharmaceutical!AR7^2/Pharmaceutical!$AF7)/(Pharmaceutical!$AF7-1))</f>
        <v>60</v>
      </c>
      <c r="AY47" s="23">
        <f t="shared" ref="AY47:AY79" si="22">_xlfn.T.INV.2T(0.05,AX47)</f>
        <v>2.0002978220142609</v>
      </c>
      <c r="AZ47" s="186">
        <f t="shared" ref="AZ47:AZ79" si="23">_xlfn.T.DIST.2T(AW47,AX47)</f>
        <v>1.8863758784759041E-20</v>
      </c>
    </row>
    <row r="48" spans="1:52" x14ac:dyDescent="0.25">
      <c r="A48" s="261"/>
      <c r="B48" s="5" t="s">
        <v>1</v>
      </c>
      <c r="C48" s="192">
        <f>Pharmaceutical!C8/IncidenceComplications!$G5</f>
        <v>0.87092568448500651</v>
      </c>
      <c r="D48" s="192">
        <f>Pharmaceutical!D8/IncidenceComplications!$G5</f>
        <v>0.64602346805736632</v>
      </c>
      <c r="E48" s="3">
        <f>Pharmaceutical!E8-Pharmaceutical!F8</f>
        <v>1972</v>
      </c>
      <c r="F48" s="37">
        <f>Pharmaceutical!G8-Pharmaceutical!H8</f>
        <v>1.2855280312907431</v>
      </c>
      <c r="G48" s="37">
        <f>SQRT(Pharmaceutical!I8^2+Pharmaceutical!J8^2)</f>
        <v>4.0926703301803524</v>
      </c>
      <c r="H48" s="146">
        <f>(Pharmaceutical!$C8-1)*Pharmaceutical!$I8+(Pharmaceutical!$D8-1)*Pharmaceutical!$J8/(Pharmaceutical!$C8+Pharmaceutical!$D8-2)</f>
        <v>4171.3407091052904</v>
      </c>
      <c r="I48" s="37">
        <f>ABS(F48)/(SQRT((Pharmaceutical!I8/Pharmaceutical!$C8)+(Pharmaceutical!J8/Pharmaceutical!$D8)))</f>
        <v>18.168464575164872</v>
      </c>
      <c r="J48" s="146">
        <f>(Pharmaceutical!I8^2/Pharmaceutical!$C8+Pharmaceutical!J8^2/Pharmaceutical!$D8)/((Pharmaceutical!I8^2/Pharmaceutical!$C8)/(Pharmaceutical!$C8-1)+(Pharmaceutical!J8^2/Pharmaceutical!$D8)/(Pharmaceutical!$D8-1))</f>
        <v>1139.8265467124681</v>
      </c>
      <c r="K48" s="23">
        <f t="shared" si="12"/>
        <v>1.9620489285709171</v>
      </c>
      <c r="L48" s="26">
        <f t="shared" si="13"/>
        <v>5.6514329372543373E-65</v>
      </c>
      <c r="M48" s="54">
        <f>Pharmaceutical!K8-Pharmaceutical!L8</f>
        <v>10509.377899999999</v>
      </c>
      <c r="N48" s="69">
        <f>Pharmaceutical!M8-Pharmaceutical!N8</f>
        <v>6.8509634289439365</v>
      </c>
      <c r="O48" s="49">
        <f>SQRT(Pharmaceutical!O8^2+Pharmaceutical!P8^2)</f>
        <v>28.90251546321841</v>
      </c>
      <c r="P48" s="146">
        <f>(Pharmaceutical!$C8-1)*Pharmaceutical!$O8+(Pharmaceutical!$D8-1)*Pharmaceutical!$P8/(Pharmaceutical!$C8+Pharmaceutical!$D8-2)</f>
        <v>28653.766833447095</v>
      </c>
      <c r="Q48" s="37">
        <f>ABS(N48)/(SQRT((Pharmaceutical!O8/Pharmaceutical!$C8)+(Pharmaceutical!P8/Pharmaceutical!$D8)))</f>
        <v>36.310003950051197</v>
      </c>
      <c r="R48" s="146">
        <f>(Pharmaceutical!O8^2/Pharmaceutical!$C8+Pharmaceutical!P8^2/Pharmaceutical!$D8)/((Pharmaceutical!O8^2/Pharmaceutical!$C8)/(Pharmaceutical!$C8-1)+(Pharmaceutical!P8^2/Pharmaceutical!$D8)/(Pharmaceutical!$D8-1))</f>
        <v>1129.088696215546</v>
      </c>
      <c r="S48" s="23">
        <f t="shared" si="14"/>
        <v>1.9620674152179345</v>
      </c>
      <c r="T48" s="26">
        <f t="shared" si="15"/>
        <v>6.7551903326240956E-192</v>
      </c>
      <c r="U48" s="2">
        <f>Pharmaceutical!S8-Pharmaceutical!T8</f>
        <v>1201</v>
      </c>
      <c r="V48" s="37">
        <f>Pharmaceutical!U8-Pharmaceutical!V8</f>
        <v>2.431174089068826</v>
      </c>
      <c r="W48" s="37">
        <f>SQRT(Pharmaceutical!W8^2+Pharmaceutical!X8^2)</f>
        <v>4.4991273792692015</v>
      </c>
      <c r="X48" s="146">
        <f>(Pharmaceutical!$Q8-1)*Pharmaceutical!$W8+(Pharmaceutical!$R8-1)*Pharmaceutical!$X8/(Pharmaceutical!$Q8+Pharmaceutical!$R8-2)</f>
        <v>1777.6467453550001</v>
      </c>
      <c r="Y48" s="37">
        <f>ABS(V48)/(SQRT((Pharmaceutical!W8/Pharmaceutical!$Q8)+(Pharmaceutical!X8/Pharmaceutical!$R8)))</f>
        <v>21.532507045567968</v>
      </c>
      <c r="Z48" s="146">
        <f>(Pharmaceutical!W8^2/Pharmaceutical!$Q8+Pharmaceutical!X8^2/Pharmaceutical!$R8)/((Pharmaceutical!W8^2/Pharmaceutical!$Q8)/(Pharmaceutical!$Q8-1)+(Pharmaceutical!X8^2/Pharmaceutical!$R8)/(Pharmaceutical!$R8-1))</f>
        <v>493</v>
      </c>
      <c r="AA48" s="23">
        <f t="shared" si="16"/>
        <v>1.9647875279653684</v>
      </c>
      <c r="AB48" s="26">
        <f t="shared" si="17"/>
        <v>5.5323557406256869E-73</v>
      </c>
      <c r="AC48" s="54">
        <f>Pharmaceutical!Y8-Pharmaceutical!Z8</f>
        <v>6715.5708500000001</v>
      </c>
      <c r="AD48" s="69">
        <f>Pharmaceutical!AA8-Pharmaceutical!AB8</f>
        <v>13.594272975708501</v>
      </c>
      <c r="AE48" s="49">
        <f>SQRT(Pharmaceutical!AC8^2+Pharmaceutical!AD8^2)</f>
        <v>30.8980145409732</v>
      </c>
      <c r="AF48" s="146">
        <f>(Pharmaceutical!$Q8-1)*Pharmaceutical!$AC8+(Pharmaceutical!$R8-1)*Pharmaceutical!$AD8/(Pharmaceutical!$Q8+Pharmaceutical!$R8-2)</f>
        <v>12052.662778949998</v>
      </c>
      <c r="AG48" s="37">
        <f>ABS(AD48)/(SQRT((Pharmaceutical!AC8/Pharmaceutical!$Q8)+(Pharmaceutical!AD8/Pharmaceutical!$R8)))</f>
        <v>45.891932821646293</v>
      </c>
      <c r="AH48" s="146">
        <f>(Pharmaceutical!AC8^2/Pharmaceutical!$Q8+Pharmaceutical!AD8^2/Pharmaceutical!$R8)/((Pharmaceutical!AC8^2/Pharmaceutical!$Q8)/(Pharmaceutical!$Q8-1)+(Pharmaceutical!AD8^2/Pharmaceutical!$R8)/(Pharmaceutical!$R8-1))</f>
        <v>493</v>
      </c>
      <c r="AI48" s="23">
        <f t="shared" si="18"/>
        <v>1.9647875279653684</v>
      </c>
      <c r="AJ48" s="26">
        <f t="shared" si="19"/>
        <v>4.3143852967301794E-180</v>
      </c>
      <c r="AK48" s="2">
        <f>Pharmaceutical!AG8-Pharmaceutical!AH8</f>
        <v>365</v>
      </c>
      <c r="AL48" s="37">
        <f>Pharmaceutical!AI8-Pharmaceutical!AJ8</f>
        <v>2.3101265822784813</v>
      </c>
      <c r="AM48" s="37">
        <f>SQRT(Pharmaceutical!AK8^2+Pharmaceutical!AL8^2)</f>
        <v>4.818402636087793</v>
      </c>
      <c r="AN48" s="146">
        <f>(Pharmaceutical!$AE8-1)*Pharmaceutical!$AK8+(Pharmaceutical!$AF8-1)*Pharmaceutical!$AL8/(Pharmaceutical!$AE8+Pharmaceutical!$AF8-2)</f>
        <v>638.69868623000002</v>
      </c>
      <c r="AO48" s="37">
        <f>ABS(AL48)/(SQRT((Pharmaceutical!AK8/Pharmaceutical!$AE8)+(Pharmaceutical!AL8/Pharmaceutical!$AF8)))</f>
        <v>11.256204747613884</v>
      </c>
      <c r="AP48" s="146">
        <f>(Pharmaceutical!AK8^2/Pharmaceutical!$AE8+Pharmaceutical!AL8^2/Pharmaceutical!$AF8)/((Pharmaceutical!AK8^2/Pharmaceutical!$AE8)/(Pharmaceutical!$AE8-1)+(Pharmaceutical!AL8^2/Pharmaceutical!$AF8)/(Pharmaceutical!$AF8-1))</f>
        <v>157</v>
      </c>
      <c r="AQ48" s="23">
        <f t="shared" si="20"/>
        <v>1.9751891630765959</v>
      </c>
      <c r="AR48" s="26">
        <f t="shared" si="21"/>
        <v>6.3595026526843372E-22</v>
      </c>
      <c r="AS48" s="54">
        <f>Pharmaceutical!AM8-Pharmaceutical!AN8</f>
        <v>2860.3112300000003</v>
      </c>
      <c r="AT48" s="69">
        <f>Pharmaceutical!AO8-Pharmaceutical!AP8</f>
        <v>18.103235632911399</v>
      </c>
      <c r="AU48" s="49">
        <f>SQRT(Pharmaceutical!AQ8^2+Pharmaceutical!AR8^2)</f>
        <v>33.094327120242831</v>
      </c>
      <c r="AV48" s="146">
        <f>(Pharmaceutical!$AE8-1)*Pharmaceutical!$AQ8+(Pharmaceutical!$AF8-1)*Pharmaceutical!$AR8/(Pharmaceutical!$AE8+Pharmaceutical!$AF8-2)</f>
        <v>4389.2310409999991</v>
      </c>
      <c r="AW48" s="37">
        <f>ABS(AT48)/(SQRT((Pharmaceutical!AQ8/Pharmaceutical!$AE8)+(Pharmaceutical!AR8/Pharmaceutical!$AF8)))</f>
        <v>33.661173920654626</v>
      </c>
      <c r="AX48" s="146">
        <f>(Pharmaceutical!AQ8^2/Pharmaceutical!$AE8+Pharmaceutical!AR8^2/Pharmaceutical!$AF8)/((Pharmaceutical!AQ8^2/Pharmaceutical!$AE8)/(Pharmaceutical!$AE8-1)+(Pharmaceutical!AR8^2/Pharmaceutical!$AF8)/(Pharmaceutical!$AF8-1))</f>
        <v>157</v>
      </c>
      <c r="AY48" s="23">
        <f t="shared" si="22"/>
        <v>1.9751891630765959</v>
      </c>
      <c r="AZ48" s="186">
        <f t="shared" si="23"/>
        <v>1.0615913913509664E-73</v>
      </c>
    </row>
    <row r="49" spans="1:52" x14ac:dyDescent="0.25">
      <c r="A49" s="261"/>
      <c r="B49" s="5" t="s">
        <v>2</v>
      </c>
      <c r="C49" s="192">
        <f>Pharmaceutical!C9/IncidenceComplications!$G6</f>
        <v>0.81215970961887474</v>
      </c>
      <c r="D49" s="192">
        <f>Pharmaceutical!D9/IncidenceComplications!$G6</f>
        <v>0.46098003629764067</v>
      </c>
      <c r="E49" s="3">
        <f>Pharmaceutical!E9-Pharmaceutical!F9</f>
        <v>1359</v>
      </c>
      <c r="F49" s="37">
        <f>Pharmaceutical!G9-Pharmaceutical!H9</f>
        <v>1.2332123411978224</v>
      </c>
      <c r="G49" s="37">
        <f>SQRT(Pharmaceutical!I9^2+Pharmaceutical!J9^2)</f>
        <v>2.8499397766557086</v>
      </c>
      <c r="H49" s="146">
        <f>(Pharmaceutical!$C9-1)*Pharmaceutical!$I9+(Pharmaceutical!$D9-1)*Pharmaceutical!$J9/(Pharmaceutical!$C9+Pharmaceutical!$D9-2)</f>
        <v>1913.7026299179445</v>
      </c>
      <c r="I49" s="37">
        <f>ABS(F49)/(SQRT((Pharmaceutical!I9/Pharmaceutical!$C9)+(Pharmaceutical!J9/Pharmaceutical!$D9)))</f>
        <v>15.794469273034135</v>
      </c>
      <c r="J49" s="146">
        <f>(Pharmaceutical!I9^2/Pharmaceutical!$C9+Pharmaceutical!J9^2/Pharmaceutical!$D9)/((Pharmaceutical!I9^2/Pharmaceutical!$C9)/(Pharmaceutical!$C9-1)+(Pharmaceutical!J9^2/Pharmaceutical!$D9)/(Pharmaceutical!$D9-1))</f>
        <v>620.69201208752725</v>
      </c>
      <c r="K49" s="23">
        <f t="shared" si="12"/>
        <v>1.9637975818029951</v>
      </c>
      <c r="L49" s="26">
        <f t="shared" si="13"/>
        <v>1.7709366142267385E-47</v>
      </c>
      <c r="M49" s="54">
        <f>Pharmaceutical!K9-Pharmaceutical!L9</f>
        <v>9094.6058399999984</v>
      </c>
      <c r="N49" s="69">
        <f>Pharmaceutical!M9-Pharmaceutical!N9</f>
        <v>8.252818366606169</v>
      </c>
      <c r="O49" s="49">
        <f>SQRT(Pharmaceutical!O9^2+Pharmaceutical!P9^2)</f>
        <v>24.343232580025511</v>
      </c>
      <c r="P49" s="146">
        <f>(Pharmaceutical!$C9-1)*Pharmaceutical!$O9+(Pharmaceutical!$D9-1)*Pharmaceutical!$P9/(Pharmaceutical!$C9+Pharmaceutical!$D9-2)</f>
        <v>17081.412690829762</v>
      </c>
      <c r="Q49" s="37">
        <f>ABS(N49)/(SQRT((Pharmaceutical!O9/Pharmaceutical!$C9)+(Pharmaceutical!P9/Pharmaceutical!$D9)))</f>
        <v>36.526357020080191</v>
      </c>
      <c r="R49" s="146">
        <f>(Pharmaceutical!O9^2/Pharmaceutical!$C9+Pharmaceutical!P9^2/Pharmaceutical!$D9)/((Pharmaceutical!O9^2/Pharmaceutical!$C9)/(Pharmaceutical!$C9-1)+(Pharmaceutical!P9^2/Pharmaceutical!$D9)/(Pharmaceutical!$D9-1))</f>
        <v>638.65891008004746</v>
      </c>
      <c r="S49" s="23">
        <f t="shared" si="14"/>
        <v>1.9636892219922382</v>
      </c>
      <c r="T49" s="26">
        <f t="shared" si="15"/>
        <v>1.7144201140625427E-158</v>
      </c>
      <c r="U49" s="2">
        <f>Pharmaceutical!S9-Pharmaceutical!T9</f>
        <v>412</v>
      </c>
      <c r="V49" s="37">
        <f>Pharmaceutical!U9-Pharmaceutical!V9</f>
        <v>2.4523809523809521</v>
      </c>
      <c r="W49" s="37">
        <f>SQRT(Pharmaceutical!W9^2+Pharmaceutical!X9^2)</f>
        <v>3.1757183062504604</v>
      </c>
      <c r="X49" s="146">
        <f>(Pharmaceutical!$Q9-1)*Pharmaceutical!$W9+(Pharmaceutical!$R9-1)*Pharmaceutical!$X9/(Pharmaceutical!$Q9+Pharmaceutical!$R9-2)</f>
        <v>431.527349625</v>
      </c>
      <c r="Y49" s="37">
        <f>ABS(V49)/(SQRT((Pharmaceutical!W9/Pharmaceutical!$Q9)+(Pharmaceutical!X9/Pharmaceutical!$R9)))</f>
        <v>15.098285019904329</v>
      </c>
      <c r="Z49" s="146">
        <f>(Pharmaceutical!W9^2/Pharmaceutical!$Q9+Pharmaceutical!X9^2/Pharmaceutical!$R9)/((Pharmaceutical!W9^2/Pharmaceutical!$Q9)/(Pharmaceutical!$Q9-1)+(Pharmaceutical!X9^2/Pharmaceutical!$R9)/(Pharmaceutical!$R9-1))</f>
        <v>166.99999999999997</v>
      </c>
      <c r="AA49" s="23">
        <f t="shared" si="16"/>
        <v>1.9743577636580343</v>
      </c>
      <c r="AB49" s="26">
        <f t="shared" si="17"/>
        <v>5.6855830465752547E-33</v>
      </c>
      <c r="AC49" s="54">
        <f>Pharmaceutical!Y9-Pharmaceutical!Z9</f>
        <v>3234.8294999999998</v>
      </c>
      <c r="AD49" s="69">
        <f>Pharmaceutical!AA9-Pharmaceutical!AB9</f>
        <v>19.2549375</v>
      </c>
      <c r="AE49" s="49">
        <f>SQRT(Pharmaceutical!AC9^2+Pharmaceutical!AD9^2)</f>
        <v>28.488509145385898</v>
      </c>
      <c r="AF49" s="146">
        <f>(Pharmaceutical!$Q9-1)*Pharmaceutical!$AC9+(Pharmaceutical!$R9-1)*Pharmaceutical!$AD9/(Pharmaceutical!$Q9+Pharmaceutical!$R9-2)</f>
        <v>4218.2791547999996</v>
      </c>
      <c r="AG49" s="37">
        <f>ABS(AD49)/(SQRT((Pharmaceutical!AC9/Pharmaceutical!$Q9)+(Pharmaceutical!AD9/Pharmaceutical!$R9)))</f>
        <v>40.238000158475337</v>
      </c>
      <c r="AH49" s="146">
        <f>(Pharmaceutical!AC9^2/Pharmaceutical!$Q9+Pharmaceutical!AD9^2/Pharmaceutical!$R9)/((Pharmaceutical!AC9^2/Pharmaceutical!$Q9)/(Pharmaceutical!$Q9-1)+(Pharmaceutical!AD9^2/Pharmaceutical!$R9)/(Pharmaceutical!$R9-1))</f>
        <v>166.99999999999997</v>
      </c>
      <c r="AI49" s="23">
        <f t="shared" si="18"/>
        <v>1.9743577636580343</v>
      </c>
      <c r="AJ49" s="26">
        <f t="shared" si="19"/>
        <v>1.5603030957894451E-87</v>
      </c>
      <c r="AK49" s="2">
        <f>Pharmaceutical!AG9-Pharmaceutical!AH9</f>
        <v>209</v>
      </c>
      <c r="AL49" s="37">
        <f>Pharmaceutical!AI9-Pharmaceutical!AJ9</f>
        <v>2.2967032967032965</v>
      </c>
      <c r="AM49" s="37">
        <f>SQRT(Pharmaceutical!AK9^2+Pharmaceutical!AL9^2)</f>
        <v>3.1106183162668528</v>
      </c>
      <c r="AN49" s="146">
        <f>(Pharmaceutical!$AE9-1)*Pharmaceutical!$AK9+(Pharmaceutical!$AF9-1)*Pharmaceutical!$AL9/(Pharmaceutical!$AE9+Pharmaceutical!$AF9-2)</f>
        <v>230.673810315</v>
      </c>
      <c r="AO49" s="37">
        <f>ABS(AL49)/(SQRT((Pharmaceutical!AK9/Pharmaceutical!$AE9)+(Pharmaceutical!AL9/Pharmaceutical!$AF9)))</f>
        <v>10.528818089203156</v>
      </c>
      <c r="AP49" s="146">
        <f>(Pharmaceutical!AK9^2/Pharmaceutical!$AE9+Pharmaceutical!AL9^2/Pharmaceutical!$AF9)/((Pharmaceutical!AK9^2/Pharmaceutical!$AE9)/(Pharmaceutical!$AE9-1)+(Pharmaceutical!AL9^2/Pharmaceutical!$AF9)/(Pharmaceutical!$AF9-1))</f>
        <v>90.000000000000014</v>
      </c>
      <c r="AQ49" s="23">
        <f t="shared" si="20"/>
        <v>1.986674540703772</v>
      </c>
      <c r="AR49" s="26">
        <f t="shared" si="21"/>
        <v>2.2909595293454193E-17</v>
      </c>
      <c r="AS49" s="54">
        <f>Pharmaceutical!AM9-Pharmaceutical!AN9</f>
        <v>2129.2034330000001</v>
      </c>
      <c r="AT49" s="69">
        <f>Pharmaceutical!AO9-Pharmaceutical!AP9</f>
        <v>23.397839923076926</v>
      </c>
      <c r="AU49" s="49">
        <f>SQRT(Pharmaceutical!AQ9^2+Pharmaceutical!AR9^2)</f>
        <v>30.02444091071796</v>
      </c>
      <c r="AV49" s="146">
        <f>(Pharmaceutical!$AE9-1)*Pharmaceutical!$AQ9+(Pharmaceutical!$AF9-1)*Pharmaceutical!$AR9/(Pharmaceutical!$AE9+Pharmaceutical!$AF9-2)</f>
        <v>2372.0661684000002</v>
      </c>
      <c r="AW49" s="37">
        <f>ABS(AT49)/(SQRT((Pharmaceutical!AQ9/Pharmaceutical!$AE9)+(Pharmaceutical!AR9/Pharmaceutical!$AF9)))</f>
        <v>34.941992293275419</v>
      </c>
      <c r="AX49" s="146">
        <f>(Pharmaceutical!AQ9^2/Pharmaceutical!$AE9+Pharmaceutical!AR9^2/Pharmaceutical!$AF9)/((Pharmaceutical!AQ9^2/Pharmaceutical!$AE9)/(Pharmaceutical!$AE9-1)+(Pharmaceutical!AR9^2/Pharmaceutical!$AF9)/(Pharmaceutical!$AF9-1))</f>
        <v>90.000000000000014</v>
      </c>
      <c r="AY49" s="23">
        <f t="shared" si="22"/>
        <v>1.986674540703772</v>
      </c>
      <c r="AZ49" s="186">
        <f t="shared" si="23"/>
        <v>3.8757298828253165E-54</v>
      </c>
    </row>
    <row r="50" spans="1:52" x14ac:dyDescent="0.25">
      <c r="A50" s="261"/>
      <c r="B50" s="5" t="s">
        <v>3</v>
      </c>
      <c r="C50" s="192">
        <f>Pharmaceutical!C10/IncidenceComplications!$G7</f>
        <v>0.56692913385826771</v>
      </c>
      <c r="D50" s="192">
        <f>Pharmaceutical!D10/IncidenceComplications!$G7</f>
        <v>0.23474409448818898</v>
      </c>
      <c r="E50" s="3">
        <f>Pharmaceutical!E10-Pharmaceutical!F10</f>
        <v>1660</v>
      </c>
      <c r="F50" s="37">
        <f>Pharmaceutical!G10-Pharmaceutical!H10</f>
        <v>0.81692913385826782</v>
      </c>
      <c r="G50" s="37">
        <f>SQRT(Pharmaceutical!I10^2+Pharmaceutical!J10^2)</f>
        <v>1.9388232617885861</v>
      </c>
      <c r="H50" s="146">
        <f>(Pharmaceutical!$C10-1)*Pharmaceutical!$I10+(Pharmaceutical!$D10-1)*Pharmaceutical!$J10/(Pharmaceutical!$C10+Pharmaceutical!$D10-2)</f>
        <v>1892.6773881888751</v>
      </c>
      <c r="I50" s="37">
        <f>ABS(F50)/(SQRT((Pharmaceutical!I10/Pharmaceutical!$C10)+(Pharmaceutical!J10/Pharmaceutical!$D10)))</f>
        <v>13.650721562981333</v>
      </c>
      <c r="J50" s="146">
        <f>(Pharmaceutical!I10^2/Pharmaceutical!$C10+Pharmaceutical!J10^2/Pharmaceutical!$D10)/((Pharmaceutical!I10^2/Pharmaceutical!$C10)/(Pharmaceutical!$C10-1)+(Pharmaceutical!J10^2/Pharmaceutical!$D10)/(Pharmaceutical!$D10-1))</f>
        <v>681.71553638466116</v>
      </c>
      <c r="K50" s="23">
        <f t="shared" si="12"/>
        <v>1.9634535900975778</v>
      </c>
      <c r="L50" s="26">
        <f t="shared" si="13"/>
        <v>1.1209528314601704E-37</v>
      </c>
      <c r="M50" s="54">
        <f>Pharmaceutical!K10-Pharmaceutical!L10</f>
        <v>16110.15987</v>
      </c>
      <c r="N50" s="69">
        <f>Pharmaceutical!M10-Pharmaceutical!N10</f>
        <v>7.9282282824803154</v>
      </c>
      <c r="O50" s="49">
        <f>SQRT(Pharmaceutical!O10^2+Pharmaceutical!P10^2)</f>
        <v>22.736167888682019</v>
      </c>
      <c r="P50" s="146">
        <f>(Pharmaceutical!$C10-1)*Pharmaceutical!$O10+(Pharmaceutical!$D10-1)*Pharmaceutical!$P10/(Pharmaceutical!$C10+Pharmaceutical!$D10-2)</f>
        <v>20566.407672001966</v>
      </c>
      <c r="Q50" s="37">
        <f>ABS(N50)/(SQRT((Pharmaceutical!O10/Pharmaceutical!$C10)+(Pharmaceutical!P10/Pharmaceutical!$D10)))</f>
        <v>37.377753454080718</v>
      </c>
      <c r="R50" s="146">
        <f>(Pharmaceutical!O10^2/Pharmaceutical!$C10+Pharmaceutical!P10^2/Pharmaceutical!$D10)/((Pharmaceutical!O10^2/Pharmaceutical!$C10)/(Pharmaceutical!$C10-1)+(Pharmaceutical!P10^2/Pharmaceutical!$D10)/(Pharmaceutical!$D10-1))</f>
        <v>622.13157212591045</v>
      </c>
      <c r="S50" s="23">
        <f t="shared" si="14"/>
        <v>1.9637852315211879</v>
      </c>
      <c r="T50" s="26">
        <f t="shared" si="15"/>
        <v>3.5439573146348761E-161</v>
      </c>
      <c r="U50" s="2">
        <f>Pharmaceutical!S10-Pharmaceutical!T10</f>
        <v>256</v>
      </c>
      <c r="V50" s="37">
        <f>Pharmaceutical!U10-Pharmaceutical!V10</f>
        <v>1.6623376623376622</v>
      </c>
      <c r="W50" s="37">
        <f>SQRT(Pharmaceutical!W10^2+Pharmaceutical!X10^2)</f>
        <v>2.4888683491591963</v>
      </c>
      <c r="X50" s="146">
        <f>(Pharmaceutical!$Q10-1)*Pharmaceutical!$W10+(Pharmaceutical!$R10-1)*Pharmaceutical!$X10/(Pharmaceutical!$Q10+Pharmaceutical!$R10-2)</f>
        <v>323.17852402500006</v>
      </c>
      <c r="Y50" s="37">
        <f>ABS(V50)/(SQRT((Pharmaceutical!W10/Pharmaceutical!$Q10)+(Pharmaceutical!X10/Pharmaceutical!$R10)))</f>
        <v>11.136691749528669</v>
      </c>
      <c r="Z50" s="146">
        <f>(Pharmaceutical!W10^2/Pharmaceutical!$Q10+Pharmaceutical!X10^2/Pharmaceutical!$R10)/((Pharmaceutical!W10^2/Pharmaceutical!$Q10)/(Pharmaceutical!$Q10-1)+(Pharmaceutical!X10^2/Pharmaceutical!$R10)/(Pharmaceutical!$R10-1))</f>
        <v>153</v>
      </c>
      <c r="AA50" s="23">
        <f t="shared" si="16"/>
        <v>1.975590315005247</v>
      </c>
      <c r="AB50" s="26">
        <f t="shared" si="17"/>
        <v>1.8033621622281311E-21</v>
      </c>
      <c r="AC50" s="54">
        <f>Pharmaceutical!Y10-Pharmaceutical!Z10</f>
        <v>2541.9818999999998</v>
      </c>
      <c r="AD50" s="69">
        <f>Pharmaceutical!AA10-Pharmaceutical!AB10</f>
        <v>16.506375974025971</v>
      </c>
      <c r="AE50" s="49">
        <f>SQRT(Pharmaceutical!AC10^2+Pharmaceutical!AD10^2)</f>
        <v>36.148448754430852</v>
      </c>
      <c r="AF50" s="146">
        <f>(Pharmaceutical!$Q10-1)*Pharmaceutical!$AC10+(Pharmaceutical!$R10-1)*Pharmaceutical!$AD10/(Pharmaceutical!$Q10+Pharmaceutical!$R10-2)</f>
        <v>3845.7045401999999</v>
      </c>
      <c r="AG50" s="37">
        <f>ABS(AD50)/(SQRT((Pharmaceutical!AC10/Pharmaceutical!$Q10)+(Pharmaceutical!AD10/Pharmaceutical!$R10)))</f>
        <v>28.651823034327993</v>
      </c>
      <c r="AH50" s="146">
        <f>(Pharmaceutical!AC10^2/Pharmaceutical!$Q10+Pharmaceutical!AD10^2/Pharmaceutical!$R10)/((Pharmaceutical!AC10^2/Pharmaceutical!$Q10)/(Pharmaceutical!$Q10-1)+(Pharmaceutical!AD10^2/Pharmaceutical!$R10)/(Pharmaceutical!$R10-1))</f>
        <v>153.00000000000003</v>
      </c>
      <c r="AI50" s="23">
        <f t="shared" si="18"/>
        <v>1.975590315005247</v>
      </c>
      <c r="AJ50" s="26">
        <f t="shared" si="19"/>
        <v>2.2495759086129376E-63</v>
      </c>
      <c r="AK50" s="2">
        <f>Pharmaceutical!AG10-Pharmaceutical!AH10</f>
        <v>174</v>
      </c>
      <c r="AL50" s="37">
        <f>Pharmaceutical!AI10-Pharmaceutical!AJ10</f>
        <v>1.4499999999999997</v>
      </c>
      <c r="AM50" s="37">
        <f>SQRT(Pharmaceutical!AK10^2+Pharmaceutical!AL10^2)</f>
        <v>2.1959346193417093</v>
      </c>
      <c r="AN50" s="146">
        <f>(Pharmaceutical!$AE10-1)*Pharmaceutical!$AK10+(Pharmaceutical!$AF10-1)*Pharmaceutical!$AL10/(Pharmaceutical!$AE10+Pharmaceutical!$AF10-2)</f>
        <v>214.91356941000001</v>
      </c>
      <c r="AO50" s="37">
        <f>ABS(AL50)/(SQRT((Pharmaceutical!AK10/Pharmaceutical!$AE10)+(Pharmaceutical!AL10/Pharmaceutical!$AF10)))</f>
        <v>9.0839371280405263</v>
      </c>
      <c r="AP50" s="146">
        <f>(Pharmaceutical!AK10^2/Pharmaceutical!$AE10+Pharmaceutical!AL10^2/Pharmaceutical!$AF10)/((Pharmaceutical!AK10^2/Pharmaceutical!$AE10)/(Pharmaceutical!$AE10-1)+(Pharmaceutical!AL10^2/Pharmaceutical!$AF10)/(Pharmaceutical!$AF10-1))</f>
        <v>119</v>
      </c>
      <c r="AQ50" s="23">
        <f t="shared" si="20"/>
        <v>1.9800998764569426</v>
      </c>
      <c r="AR50" s="26">
        <f t="shared" si="21"/>
        <v>2.7573104954178353E-15</v>
      </c>
      <c r="AS50" s="54">
        <f>Pharmaceutical!AM10-Pharmaceutical!AN10</f>
        <v>2213.939903</v>
      </c>
      <c r="AT50" s="69">
        <f>Pharmaceutical!AO10-Pharmaceutical!AP10</f>
        <v>18.449499191666664</v>
      </c>
      <c r="AU50" s="49">
        <f>SQRT(Pharmaceutical!AQ10^2+Pharmaceutical!AR10^2)</f>
        <v>28.226267963008695</v>
      </c>
      <c r="AV50" s="146">
        <f>(Pharmaceutical!$AE10-1)*Pharmaceutical!$AQ10+(Pharmaceutical!$AF10-1)*Pharmaceutical!$AR10/(Pharmaceutical!$AE10+Pharmaceutical!$AF10-2)</f>
        <v>3028.4258665500001</v>
      </c>
      <c r="AW50" s="37">
        <f>ABS(AT50)/(SQRT((Pharmaceutical!AQ10/Pharmaceutical!$AE10)+(Pharmaceutical!AR10/Pharmaceutical!$AF10)))</f>
        <v>32.909685806154776</v>
      </c>
      <c r="AX50" s="146">
        <f>(Pharmaceutical!AQ10^2/Pharmaceutical!$AE10+Pharmaceutical!AR10^2/Pharmaceutical!$AF10)/((Pharmaceutical!AQ10^2/Pharmaceutical!$AE10)/(Pharmaceutical!$AE10-1)+(Pharmaceutical!AR10^2/Pharmaceutical!$AF10)/(Pharmaceutical!$AF10-1))</f>
        <v>119.00000000000001</v>
      </c>
      <c r="AY50" s="23">
        <f t="shared" si="22"/>
        <v>1.9800998764569426</v>
      </c>
      <c r="AZ50" s="186">
        <f t="shared" si="23"/>
        <v>1.3341564156266471E-61</v>
      </c>
    </row>
    <row r="51" spans="1:52" x14ac:dyDescent="0.25">
      <c r="A51" s="261"/>
      <c r="B51" s="5" t="s">
        <v>4</v>
      </c>
      <c r="C51" s="192">
        <f>Pharmaceutical!C11/IncidenceComplications!$G8</f>
        <v>0.453416149068323</v>
      </c>
      <c r="D51" s="192">
        <f>Pharmaceutical!D11/IncidenceComplications!$G8</f>
        <v>0.23844871989092561</v>
      </c>
      <c r="E51" s="3">
        <f>Pharmaceutical!E11-Pharmaceutical!F11</f>
        <v>2752</v>
      </c>
      <c r="F51" s="37">
        <f>Pharmaceutical!G11-Pharmaceutical!H11</f>
        <v>0.41690652931374034</v>
      </c>
      <c r="G51" s="37">
        <f>SQRT(Pharmaceutical!I11^2+Pharmaceutical!J11^2)</f>
        <v>1.4364370859717672</v>
      </c>
      <c r="H51" s="146">
        <f>(Pharmaceutical!$C11-1)*Pharmaceutical!$I11+(Pharmaceutical!$D11-1)*Pharmaceutical!$J11/(Pharmaceutical!$C11+Pharmaceutical!$D11-2)</f>
        <v>3546.2474887871808</v>
      </c>
      <c r="I51" s="37">
        <f>ABS(F51)/(SQRT((Pharmaceutical!I11/Pharmaceutical!$C11)+(Pharmaceutical!J11/Pharmaceutical!$D11)))</f>
        <v>13.80793310015221</v>
      </c>
      <c r="J51" s="146">
        <f>(Pharmaceutical!I11^2/Pharmaceutical!$C11+Pharmaceutical!J11^2/Pharmaceutical!$D11)/((Pharmaceutical!I11^2/Pharmaceutical!$C11)/(Pharmaceutical!$C11-1)+(Pharmaceutical!J11^2/Pharmaceutical!$D11)/(Pharmaceutical!$D11-1))</f>
        <v>2099.2609166780526</v>
      </c>
      <c r="K51" s="23">
        <f t="shared" si="12"/>
        <v>1.9610948166018891</v>
      </c>
      <c r="L51" s="26">
        <f t="shared" si="13"/>
        <v>1.415731051322095E-41</v>
      </c>
      <c r="M51" s="54">
        <f>Pharmaceutical!K11-Pharmaceutical!L11</f>
        <v>29185.363599999997</v>
      </c>
      <c r="N51" s="69">
        <f>Pharmaceutical!M11-Pharmaceutical!N11</f>
        <v>4.4213548856233889</v>
      </c>
      <c r="O51" s="49">
        <f>SQRT(Pharmaceutical!O11^2+Pharmaceutical!P11^2)</f>
        <v>17.925478649662228</v>
      </c>
      <c r="P51" s="146">
        <f>(Pharmaceutical!$C11-1)*Pharmaceutical!$O11+(Pharmaceutical!$D11-1)*Pharmaceutical!$P11/(Pharmaceutical!$C11+Pharmaceutical!$D11-2)</f>
        <v>44659.458063299782</v>
      </c>
      <c r="Q51" s="37">
        <f>ABS(N51)/(SQRT((Pharmaceutical!O11/Pharmaceutical!$C11)+(Pharmaceutical!P11/Pharmaceutical!$D11)))</f>
        <v>41.603461737294538</v>
      </c>
      <c r="R51" s="146">
        <f>(Pharmaceutical!O11^2/Pharmaceutical!$C11+Pharmaceutical!P11^2/Pharmaceutical!$D11)/((Pharmaceutical!O11^2/Pharmaceutical!$C11)/(Pharmaceutical!$C11-1)+(Pharmaceutical!P11^2/Pharmaceutical!$D11)/(Pharmaceutical!$D11-1))</f>
        <v>2118.6990768547598</v>
      </c>
      <c r="S51" s="23">
        <f t="shared" si="14"/>
        <v>1.9610846665158279</v>
      </c>
      <c r="T51" s="26">
        <f t="shared" si="15"/>
        <v>5.0410405731631086E-277</v>
      </c>
      <c r="U51" s="2">
        <f>Pharmaceutical!S11-Pharmaceutical!T11</f>
        <v>248</v>
      </c>
      <c r="V51" s="37">
        <f>Pharmaceutical!U11-Pharmaceutical!V11</f>
        <v>1.0376569037656904</v>
      </c>
      <c r="W51" s="37">
        <f>SQRT(Pharmaceutical!W11^2+Pharmaceutical!X11^2)</f>
        <v>1.6628673422260922</v>
      </c>
      <c r="X51" s="146">
        <f>(Pharmaceutical!$Q11-1)*Pharmaceutical!$W11+(Pharmaceutical!$R11-1)*Pharmaceutical!$X11/(Pharmaceutical!$Q11+Pharmaceutical!$R11-2)</f>
        <v>347.42422865499998</v>
      </c>
      <c r="Y51" s="37">
        <f>ABS(V51)/(SQRT((Pharmaceutical!W11/Pharmaceutical!$Q11)+(Pharmaceutical!X11/Pharmaceutical!$R11)))</f>
        <v>10.676670483336741</v>
      </c>
      <c r="Z51" s="146">
        <f>(Pharmaceutical!W11^2/Pharmaceutical!$Q11+Pharmaceutical!X11^2/Pharmaceutical!$R11)/((Pharmaceutical!W11^2/Pharmaceutical!$Q11)/(Pharmaceutical!$Q11-1)+(Pharmaceutical!X11^2/Pharmaceutical!$R11)/(Pharmaceutical!$R11-1))</f>
        <v>237.99999999999997</v>
      </c>
      <c r="AA51" s="23">
        <f t="shared" si="16"/>
        <v>1.970024010403552</v>
      </c>
      <c r="AB51" s="26">
        <f t="shared" si="17"/>
        <v>5.5549813869275099E-22</v>
      </c>
      <c r="AC51" s="54">
        <f>Pharmaceutical!Y11-Pharmaceutical!Z11</f>
        <v>2868.3643970000003</v>
      </c>
      <c r="AD51" s="69">
        <f>Pharmaceutical!AA11-Pharmaceutical!AB11</f>
        <v>12.001524673640168</v>
      </c>
      <c r="AE51" s="49">
        <f>SQRT(Pharmaceutical!AC11^2+Pharmaceutical!AD11^2)</f>
        <v>23.137284307296714</v>
      </c>
      <c r="AF51" s="146">
        <f>(Pharmaceutical!$Q11-1)*Pharmaceutical!$AC11+(Pharmaceutical!$R11-1)*Pharmaceutical!$AD11/(Pharmaceutical!$Q11+Pharmaceutical!$R11-2)</f>
        <v>5032.8565973100003</v>
      </c>
      <c r="AG51" s="37">
        <f>ABS(AD51)/(SQRT((Pharmaceutical!AC11/Pharmaceutical!$Q11)+(Pharmaceutical!AD11/Pharmaceutical!$R11)))</f>
        <v>33.562525470146923</v>
      </c>
      <c r="AH51" s="146">
        <f>(Pharmaceutical!AC11^2/Pharmaceutical!$Q11+Pharmaceutical!AD11^2/Pharmaceutical!$R11)/((Pharmaceutical!AC11^2/Pharmaceutical!$Q11)/(Pharmaceutical!$Q11-1)+(Pharmaceutical!AD11^2/Pharmaceutical!$R11)/(Pharmaceutical!$R11-1))</f>
        <v>238</v>
      </c>
      <c r="AI51" s="23">
        <f t="shared" si="18"/>
        <v>1.9699815295299372</v>
      </c>
      <c r="AJ51" s="26">
        <f t="shared" si="19"/>
        <v>3.2166081494326313E-92</v>
      </c>
      <c r="AK51" s="2">
        <f>Pharmaceutical!AG11-Pharmaceutical!AH11</f>
        <v>250</v>
      </c>
      <c r="AL51" s="37">
        <f>Pharmaceutical!AI11-Pharmaceutical!AJ11</f>
        <v>1.1961722488038278</v>
      </c>
      <c r="AM51" s="37">
        <f>SQRT(Pharmaceutical!AK11^2+Pharmaceutical!AL11^2)</f>
        <v>1.9270845240313765</v>
      </c>
      <c r="AN51" s="146">
        <f>(Pharmaceutical!$AE11-1)*Pharmaceutical!$AK11+(Pharmaceutical!$AF11-1)*Pharmaceutical!$AL11/(Pharmaceutical!$AE11+Pharmaceutical!$AF11-2)</f>
        <v>366.903636995</v>
      </c>
      <c r="AO51" s="37">
        <f>ABS(AL51)/(SQRT((Pharmaceutical!AK11/Pharmaceutical!$AE11)+(Pharmaceutical!AL11/Pharmaceutical!$AF11)))</f>
        <v>10.845628369573763</v>
      </c>
      <c r="AP51" s="146">
        <f>(Pharmaceutical!AK11^2/Pharmaceutical!$AE11+Pharmaceutical!AL11^2/Pharmaceutical!$AF11)/((Pharmaceutical!AK11^2/Pharmaceutical!$AE11)/(Pharmaceutical!$AE11-1)+(Pharmaceutical!AL11^2/Pharmaceutical!$AF11)/(Pharmaceutical!$AF11-1))</f>
        <v>208</v>
      </c>
      <c r="AQ51" s="23">
        <f t="shared" si="20"/>
        <v>1.9714346585202402</v>
      </c>
      <c r="AR51" s="26">
        <f t="shared" si="21"/>
        <v>5.1937631770423603E-22</v>
      </c>
      <c r="AS51" s="54">
        <f>Pharmaceutical!AM11-Pharmaceutical!AN11</f>
        <v>3583.2844029999997</v>
      </c>
      <c r="AT51" s="69">
        <f>Pharmaceutical!AO11-Pharmaceutical!AP11</f>
        <v>17.144901449760763</v>
      </c>
      <c r="AU51" s="49">
        <f>SQRT(Pharmaceutical!AQ11^2+Pharmaceutical!AR11^2)</f>
        <v>27.367306691120149</v>
      </c>
      <c r="AV51" s="146">
        <f>(Pharmaceutical!$AE11-1)*Pharmaceutical!$AQ11+(Pharmaceutical!$AF11-1)*Pharmaceutical!$AR11/(Pharmaceutical!$AE11+Pharmaceutical!$AF11-2)</f>
        <v>5518.4747247299993</v>
      </c>
      <c r="AW51" s="37">
        <f>ABS(AT51)/(SQRT((Pharmaceutical!AQ11/Pharmaceutical!$AE11)+(Pharmaceutical!AR11/Pharmaceutical!$AF11)))</f>
        <v>42.957279052435773</v>
      </c>
      <c r="AX51" s="146">
        <f>(Pharmaceutical!AQ11^2/Pharmaceutical!$AE11+Pharmaceutical!AR11^2/Pharmaceutical!$AF11)/((Pharmaceutical!AQ11^2/Pharmaceutical!$AE11)/(Pharmaceutical!$AE11-1)+(Pharmaceutical!AR11^2/Pharmaceutical!$AF11)/(Pharmaceutical!$AF11-1))</f>
        <v>208.00000000000003</v>
      </c>
      <c r="AY51" s="23">
        <f t="shared" si="22"/>
        <v>1.9714346585202402</v>
      </c>
      <c r="AZ51" s="186">
        <f t="shared" si="23"/>
        <v>2.229823297055817E-105</v>
      </c>
    </row>
    <row r="52" spans="1:52" x14ac:dyDescent="0.25">
      <c r="A52" s="261"/>
      <c r="B52" s="5" t="s">
        <v>5</v>
      </c>
      <c r="C52" s="192">
        <f>Pharmaceutical!C12/IncidenceComplications!$G9</f>
        <v>0.53407891960329179</v>
      </c>
      <c r="D52" s="192">
        <f>Pharmaceutical!D12/IncidenceComplications!$G9</f>
        <v>0.27294787929943026</v>
      </c>
      <c r="E52" s="3">
        <f>Pharmaceutical!E12-Pharmaceutical!F12</f>
        <v>5250</v>
      </c>
      <c r="F52" s="37">
        <f>Pharmaceutical!G12-Pharmaceutical!H12</f>
        <v>0.55391432791728201</v>
      </c>
      <c r="G52" s="37">
        <f>SQRT(Pharmaceutical!I12^2+Pharmaceutical!J12^2)</f>
        <v>1.7107319600326691</v>
      </c>
      <c r="H52" s="146">
        <f>(Pharmaceutical!$C12-1)*Pharmaceutical!$I12+(Pharmaceutical!$D12-1)*Pharmaceutical!$J12/(Pharmaceutical!$C12+Pharmaceutical!$D12-2)</f>
        <v>7067.931388530279</v>
      </c>
      <c r="I52" s="37">
        <f>ABS(F52)/(SQRT((Pharmaceutical!I12/Pharmaceutical!$C12)+(Pharmaceutical!J12/Pharmaceutical!$D12)))</f>
        <v>21.596401577598538</v>
      </c>
      <c r="J52" s="146">
        <f>(Pharmaceutical!I12^2/Pharmaceutical!$C12+Pharmaceutical!J12^2/Pharmaceutical!$D12)/((Pharmaceutical!I12^2/Pharmaceutical!$C12)/(Pharmaceutical!$C12-1)+(Pharmaceutical!J12^2/Pharmaceutical!$D12)/(Pharmaceutical!$D12-1))</f>
        <v>3434.3634668368995</v>
      </c>
      <c r="K52" s="23">
        <f t="shared" si="12"/>
        <v>1.9606550425989999</v>
      </c>
      <c r="L52" s="26">
        <f t="shared" si="13"/>
        <v>4.2469454747408959E-97</v>
      </c>
      <c r="M52" s="54">
        <f>Pharmaceutical!K12-Pharmaceutical!L12</f>
        <v>58077.107299999996</v>
      </c>
      <c r="N52" s="69">
        <f>Pharmaceutical!M12-Pharmaceutical!N12</f>
        <v>6.1275698776113101</v>
      </c>
      <c r="O52" s="49">
        <f>SQRT(Pharmaceutical!O12^2+Pharmaceutical!P12^2)</f>
        <v>30.746723844240179</v>
      </c>
      <c r="P52" s="146">
        <f>(Pharmaceutical!$C12-1)*Pharmaceutical!$O12+(Pharmaceutical!$D12-1)*Pharmaceutical!$P12/(Pharmaceutical!$C12+Pharmaceutical!$D12-2)</f>
        <v>124190.81970498599</v>
      </c>
      <c r="Q52" s="37">
        <f>ABS(N52)/(SQRT((Pharmaceutical!O12/Pharmaceutical!$C12)+(Pharmaceutical!P12/Pharmaceutical!$D12)))</f>
        <v>55.915405450459552</v>
      </c>
      <c r="R52" s="146">
        <f>(Pharmaceutical!O12^2/Pharmaceutical!$C12+Pharmaceutical!P12^2/Pharmaceutical!$D12)/((Pharmaceutical!O12^2/Pharmaceutical!$C12)/(Pharmaceutical!$C12-1)+(Pharmaceutical!P12^2/Pharmaceutical!$D12)/(Pharmaceutical!$D12-1))</f>
        <v>3363.5037889782493</v>
      </c>
      <c r="S52" s="23">
        <f t="shared" si="14"/>
        <v>1.9606696374499961</v>
      </c>
      <c r="T52" s="26">
        <f t="shared" si="15"/>
        <v>0</v>
      </c>
      <c r="U52" s="2">
        <f>Pharmaceutical!S12-Pharmaceutical!T12</f>
        <v>413</v>
      </c>
      <c r="V52" s="37">
        <f>Pharmaceutical!U12-Pharmaceutical!V12</f>
        <v>1.3812709030100336</v>
      </c>
      <c r="W52" s="37">
        <f>SQRT(Pharmaceutical!W12^2+Pharmaceutical!X12^2)</f>
        <v>2.1982503346897815</v>
      </c>
      <c r="X52" s="146">
        <f>(Pharmaceutical!$Q12-1)*Pharmaceutical!$W12+(Pharmaceutical!$R12-1)*Pharmaceutical!$X12/(Pharmaceutical!$Q12+Pharmaceutical!$R12-2)</f>
        <v>572.39157038999997</v>
      </c>
      <c r="Y52" s="37">
        <f>ABS(V52)/(SQRT((Pharmaceutical!W12/Pharmaceutical!$Q12)+(Pharmaceutical!X12/Pharmaceutical!$R12)))</f>
        <v>13.809757152050379</v>
      </c>
      <c r="Z52" s="146">
        <f>(Pharmaceutical!W12^2/Pharmaceutical!$Q12+Pharmaceutical!X12^2/Pharmaceutical!$R12)/((Pharmaceutical!W12^2/Pharmaceutical!$Q12)/(Pharmaceutical!$Q12-1)+(Pharmaceutical!X12^2/Pharmaceutical!$R12)/(Pharmaceutical!$R12-1))</f>
        <v>298.00000000000006</v>
      </c>
      <c r="AA52" s="23">
        <f t="shared" si="16"/>
        <v>1.9679565064968181</v>
      </c>
      <c r="AB52" s="26">
        <f t="shared" si="17"/>
        <v>7.1819846180681897E-34</v>
      </c>
      <c r="AC52" s="54">
        <f>Pharmaceutical!Y12-Pharmaceutical!Z12</f>
        <v>5269.7161400000005</v>
      </c>
      <c r="AD52" s="69">
        <f>Pharmaceutical!AA12-Pharmaceutical!AB12</f>
        <v>17.624468695652173</v>
      </c>
      <c r="AE52" s="49">
        <f>SQRT(Pharmaceutical!AC12^2+Pharmaceutical!AD12^2)</f>
        <v>43.902464102105</v>
      </c>
      <c r="AF52" s="146">
        <f>(Pharmaceutical!$Q12-1)*Pharmaceutical!$AC12+(Pharmaceutical!$R12-1)*Pharmaceutical!$AD12/(Pharmaceutical!$Q12+Pharmaceutical!$R12-2)</f>
        <v>12083.94302655</v>
      </c>
      <c r="AG52" s="37">
        <f>ABS(AD52)/(SQRT((Pharmaceutical!AC12/Pharmaceutical!$Q12)+(Pharmaceutical!AD12/Pharmaceutical!$R12)))</f>
        <v>40.219400424342886</v>
      </c>
      <c r="AH52" s="146">
        <f>(Pharmaceutical!AC12^2/Pharmaceutical!$Q12+Pharmaceutical!AD12^2/Pharmaceutical!$R12)/((Pharmaceutical!AC12^2/Pharmaceutical!$Q12)/(Pharmaceutical!$Q12-1)+(Pharmaceutical!AD12^2/Pharmaceutical!$R12)/(Pharmaceutical!$R12-1))</f>
        <v>298</v>
      </c>
      <c r="AI52" s="23">
        <f t="shared" si="18"/>
        <v>1.9679565064968181</v>
      </c>
      <c r="AJ52" s="26">
        <f t="shared" si="19"/>
        <v>1.9756786445648996E-122</v>
      </c>
      <c r="AK52" s="2">
        <f>Pharmaceutical!AG12-Pharmaceutical!AH12</f>
        <v>529</v>
      </c>
      <c r="AL52" s="37">
        <f>Pharmaceutical!AI12-Pharmaceutical!AJ12</f>
        <v>1.2839805825242716</v>
      </c>
      <c r="AM52" s="37">
        <f>SQRT(Pharmaceutical!AK12^2+Pharmaceutical!AL12^2)</f>
        <v>2.0030552724080746</v>
      </c>
      <c r="AN52" s="146">
        <f>(Pharmaceutical!$AE12-1)*Pharmaceutical!$AK12+(Pharmaceutical!$AF12-1)*Pharmaceutical!$AL12/(Pharmaceutical!$AE12+Pharmaceutical!$AF12-2)</f>
        <v>728.81379041000002</v>
      </c>
      <c r="AO52" s="37">
        <f>ABS(AL52)/(SQRT((Pharmaceutical!AK12/Pharmaceutical!$AE12)+(Pharmaceutical!AL12/Pharmaceutical!$AF12)))</f>
        <v>15.843732671399868</v>
      </c>
      <c r="AP52" s="146">
        <f>(Pharmaceutical!AK12^2/Pharmaceutical!$AE12+Pharmaceutical!AL12^2/Pharmaceutical!$AF12)/((Pharmaceutical!AK12^2/Pharmaceutical!$AE12)/(Pharmaceutical!$AE12-1)+(Pharmaceutical!AL12^2/Pharmaceutical!$AF12)/(Pharmaceutical!$AF12-1))</f>
        <v>410.99999999999994</v>
      </c>
      <c r="AQ52" s="23">
        <f t="shared" si="20"/>
        <v>1.9657668396636925</v>
      </c>
      <c r="AR52" s="26">
        <f t="shared" si="21"/>
        <v>1.9054889893019801E-44</v>
      </c>
      <c r="AS52" s="54">
        <f>Pharmaceutical!AM12-Pharmaceutical!AN12</f>
        <v>8040.9945300000009</v>
      </c>
      <c r="AT52" s="69">
        <f>Pharmaceutical!AO12-Pharmaceutical!AP12</f>
        <v>19.516977014563111</v>
      </c>
      <c r="AU52" s="49">
        <f>SQRT(Pharmaceutical!AQ12^2+Pharmaceutical!AR12^2)</f>
        <v>40.488193200761032</v>
      </c>
      <c r="AV52" s="146">
        <f>(Pharmaceutical!$AE12-1)*Pharmaceutical!$AQ12+(Pharmaceutical!$AF12-1)*Pharmaceutical!$AR12/(Pharmaceutical!$AE12+Pharmaceutical!$AF12-2)</f>
        <v>16167.178374229999</v>
      </c>
      <c r="AW52" s="37">
        <f>ABS(AT52)/(SQRT((Pharmaceutical!AQ12/Pharmaceutical!$AE12)+(Pharmaceutical!AR12/Pharmaceutical!$AF12)))</f>
        <v>56.615084368166698</v>
      </c>
      <c r="AX52" s="146">
        <f>(Pharmaceutical!AQ12^2/Pharmaceutical!$AE12+Pharmaceutical!AR12^2/Pharmaceutical!$AF12)/((Pharmaceutical!AQ12^2/Pharmaceutical!$AE12)/(Pharmaceutical!$AE12-1)+(Pharmaceutical!AR12^2/Pharmaceutical!$AF12)/(Pharmaceutical!$AF12-1))</f>
        <v>411</v>
      </c>
      <c r="AY52" s="23">
        <f t="shared" si="22"/>
        <v>1.965752679860955</v>
      </c>
      <c r="AZ52" s="186">
        <f t="shared" si="23"/>
        <v>3.4895002552290536E-196</v>
      </c>
    </row>
    <row r="53" spans="1:52" x14ac:dyDescent="0.25">
      <c r="A53" s="261"/>
      <c r="B53" s="6" t="s">
        <v>6</v>
      </c>
      <c r="C53" s="195">
        <f>Pharmaceutical!C13/IncidenceComplications!$G10</f>
        <v>0.57039128680919726</v>
      </c>
      <c r="D53" s="196">
        <f>Pharmaceutical!D13/IncidenceComplications!$G10</f>
        <v>0.32795482049213392</v>
      </c>
      <c r="E53" s="10">
        <f>Pharmaceutical!E13-Pharmaceutical!F13</f>
        <v>1396</v>
      </c>
      <c r="F53" s="39">
        <f>Pharmaceutical!G13-Pharmaceutical!H13</f>
        <v>0.56313029447357799</v>
      </c>
      <c r="G53" s="39">
        <f>SQRT(Pharmaceutical!I13^2+Pharmaceutical!J13^2)</f>
        <v>2.0561494041251374</v>
      </c>
      <c r="H53" s="182">
        <f>(Pharmaceutical!$C13-1)*Pharmaceutical!$I13+(Pharmaceutical!$D13-1)*Pharmaceutical!$J13/(Pharmaceutical!$C13+Pharmaceutical!$D13-2)</f>
        <v>2340.0702121541526</v>
      </c>
      <c r="I53" s="39">
        <f>ABS(F53)/(SQRT((Pharmaceutical!I13/Pharmaceutical!$C13)+(Pharmaceutical!J13/Pharmaceutical!$D13)))</f>
        <v>10.897220681306207</v>
      </c>
      <c r="J53" s="182">
        <f>(Pharmaceutical!I13^2/Pharmaceutical!$C13+Pharmaceutical!J13^2/Pharmaceutical!$D13)/((Pharmaceutical!I13^2/Pharmaceutical!$C13)/(Pharmaceutical!$C13-1)+(Pharmaceutical!J13^2/Pharmaceutical!$D13)/(Pharmaceutical!$D13-1))</f>
        <v>1039.6033782433178</v>
      </c>
      <c r="K53" s="24">
        <f t="shared" si="12"/>
        <v>1.9622498268425737</v>
      </c>
      <c r="L53" s="27">
        <f t="shared" si="13"/>
        <v>2.9406930077505143E-26</v>
      </c>
      <c r="M53" s="55">
        <f>Pharmaceutical!K13-Pharmaceutical!L13</f>
        <v>17855.478500000001</v>
      </c>
      <c r="N53" s="75">
        <f>Pharmaceutical!M13-Pharmaceutical!N13</f>
        <v>7.2026940298507469</v>
      </c>
      <c r="O53" s="50">
        <f>SQRT(Pharmaceutical!O13^2+Pharmaceutical!P13^2)</f>
        <v>38.80191084443711</v>
      </c>
      <c r="P53" s="182">
        <f>(Pharmaceutical!$C13-1)*Pharmaceutical!$O13+(Pharmaceutical!$D13-1)*Pharmaceutical!$P13/(Pharmaceutical!$C13+Pharmaceutical!$D13-2)</f>
        <v>45386.142043493164</v>
      </c>
      <c r="Q53" s="39">
        <f>ABS(N53)/(SQRT((Pharmaceutical!O13/Pharmaceutical!$C13)+(Pharmaceutical!P13/Pharmaceutical!$D13)))</f>
        <v>32.374442232191114</v>
      </c>
      <c r="R53" s="182">
        <f>(Pharmaceutical!O13^2/Pharmaceutical!$C13+Pharmaceutical!P13^2/Pharmaceutical!$D13)/((Pharmaceutical!O13^2/Pharmaceutical!$C13)/(Pharmaceutical!$C13-1)+(Pharmaceutical!P13^2/Pharmaceutical!$D13)/(Pharmaceutical!$D13-1))</f>
        <v>1063.2934045190161</v>
      </c>
      <c r="S53" s="24">
        <f t="shared" si="14"/>
        <v>1.9621981601875167</v>
      </c>
      <c r="T53" s="27">
        <f t="shared" si="15"/>
        <v>1.4645964947863444E-160</v>
      </c>
      <c r="U53" s="8">
        <f>Pharmaceutical!S13-Pharmaceutical!T13</f>
        <v>95</v>
      </c>
      <c r="V53" s="39">
        <f>Pharmaceutical!U13-Pharmaceutical!V13</f>
        <v>1.0106382978723403</v>
      </c>
      <c r="W53" s="39">
        <f>SQRT(Pharmaceutical!W13^2+Pharmaceutical!X13^2)</f>
        <v>2.0977322103501712</v>
      </c>
      <c r="X53" s="182">
        <f>(Pharmaceutical!$Q13-1)*Pharmaceutical!$W13+(Pharmaceutical!$R13-1)*Pharmaceutical!$X13/(Pharmaceutical!$Q13+Pharmaceutical!$R13-2)</f>
        <v>149.87906531000002</v>
      </c>
      <c r="Y53" s="39">
        <f>ABS(V53)/(SQRT((Pharmaceutical!W13/Pharmaceutical!$Q13)+(Pharmaceutical!X13/Pharmaceutical!$R13)))</f>
        <v>5.6992615968799791</v>
      </c>
      <c r="Z53" s="182">
        <f>(Pharmaceutical!W13^2/Pharmaceutical!$Q13+Pharmaceutical!X13^2/Pharmaceutical!$R13)/((Pharmaceutical!W13^2/Pharmaceutical!$Q13)/(Pharmaceutical!$Q13-1)+(Pharmaceutical!X13^2/Pharmaceutical!$R13)/(Pharmaceutical!$R13-1))</f>
        <v>92.999999999999986</v>
      </c>
      <c r="AA53" s="24">
        <f t="shared" si="16"/>
        <v>1.9860863169511298</v>
      </c>
      <c r="AB53" s="27">
        <f t="shared" si="17"/>
        <v>1.4380240313209549E-7</v>
      </c>
      <c r="AC53" s="55">
        <f>Pharmaceutical!Y13-Pharmaceutical!Z13</f>
        <v>1000.7719350000001</v>
      </c>
      <c r="AD53" s="75">
        <f>Pharmaceutical!AA13-Pharmaceutical!AB13</f>
        <v>10.646509946808511</v>
      </c>
      <c r="AE53" s="50">
        <f>SQRT(Pharmaceutical!AC13^2+Pharmaceutical!AD13^2)</f>
        <v>31.304751550232254</v>
      </c>
      <c r="AF53" s="182">
        <f>(Pharmaceutical!$Q13-1)*Pharmaceutical!$AC13+(Pharmaceutical!$R13-1)*Pharmaceutical!$AD13/(Pharmaceutical!$Q13+Pharmaceutical!$R13-2)</f>
        <v>2149.07254195</v>
      </c>
      <c r="AG53" s="39">
        <f>ABS(AD53)/(SQRT((Pharmaceutical!AC13/Pharmaceutical!$Q13)+(Pharmaceutical!AD13/Pharmaceutical!$R13)))</f>
        <v>15.519530680291954</v>
      </c>
      <c r="AH53" s="182">
        <f>(Pharmaceutical!AC13^2/Pharmaceutical!$Q13+Pharmaceutical!AD13^2/Pharmaceutical!$R13)/((Pharmaceutical!AC13^2/Pharmaceutical!$Q13)/(Pharmaceutical!$Q13-1)+(Pharmaceutical!AD13^2/Pharmaceutical!$R13)/(Pharmaceutical!$R13-1))</f>
        <v>93</v>
      </c>
      <c r="AI53" s="24">
        <f t="shared" si="18"/>
        <v>1.9858018143458216</v>
      </c>
      <c r="AJ53" s="27">
        <f t="shared" si="19"/>
        <v>1.4950273928953731E-27</v>
      </c>
      <c r="AK53" s="8">
        <f>Pharmaceutical!AG13-Pharmaceutical!AH13</f>
        <v>141</v>
      </c>
      <c r="AL53" s="39">
        <f>Pharmaceutical!AI13-Pharmaceutical!AJ13</f>
        <v>0.62114537444933915</v>
      </c>
      <c r="AM53" s="39">
        <f>SQRT(Pharmaceutical!AK13^2+Pharmaceutical!AL13^2)</f>
        <v>2.2689346444055754</v>
      </c>
      <c r="AN53" s="182">
        <f>(Pharmaceutical!$AE13-1)*Pharmaceutical!$AK13+(Pharmaceutical!$AF13-1)*Pharmaceutical!$AL13/(Pharmaceutical!$AE13+Pharmaceutical!$AF13-2)</f>
        <v>387.74466811500002</v>
      </c>
      <c r="AO53" s="39">
        <f>ABS(AL53)/(SQRT((Pharmaceutical!AK13/Pharmaceutical!$AE13)+(Pharmaceutical!AL13/Pharmaceutical!$AF13)))</f>
        <v>5.230790688482946</v>
      </c>
      <c r="AP53" s="182">
        <f>(Pharmaceutical!AK13^2/Pharmaceutical!$AE13+Pharmaceutical!AL13^2/Pharmaceutical!$AF13)/((Pharmaceutical!AK13^2/Pharmaceutical!$AE13)/(Pharmaceutical!$AE13-1)+(Pharmaceutical!AL13^2/Pharmaceutical!$AF13)/(Pharmaceutical!$AF13-1))</f>
        <v>226</v>
      </c>
      <c r="AQ53" s="24">
        <f t="shared" si="20"/>
        <v>1.9705162426831593</v>
      </c>
      <c r="AR53" s="27">
        <f t="shared" si="21"/>
        <v>3.8442560285013509E-7</v>
      </c>
      <c r="AS53" s="55">
        <f>Pharmaceutical!AM13-Pharmaceutical!AN13</f>
        <v>2644.0769700000005</v>
      </c>
      <c r="AT53" s="75">
        <f>Pharmaceutical!AO13-Pharmaceutical!AP13</f>
        <v>11.647916167400883</v>
      </c>
      <c r="AU53" s="50">
        <f>SQRT(Pharmaceutical!AQ13^2+Pharmaceutical!AR13^2)</f>
        <v>34.282062913407081</v>
      </c>
      <c r="AV53" s="182">
        <f>(Pharmaceutical!$AE13-1)*Pharmaceutical!$AQ13+(Pharmaceutical!$AF13-1)*Pharmaceutical!$AR13/(Pharmaceutical!$AE13+Pharmaceutical!$AF13-2)</f>
        <v>6621.7462376499998</v>
      </c>
      <c r="AW53" s="39">
        <f>ABS(AT53)/(SQRT((Pharmaceutical!AQ13/Pharmaceutical!$AE13)+(Pharmaceutical!AR13/Pharmaceutical!$AF13)))</f>
        <v>25.564783799416258</v>
      </c>
      <c r="AX53" s="182">
        <f>(Pharmaceutical!AQ13^2/Pharmaceutical!$AE13+Pharmaceutical!AR13^2/Pharmaceutical!$AF13)/((Pharmaceutical!AQ13^2/Pharmaceutical!$AE13)/(Pharmaceutical!$AE13-1)+(Pharmaceutical!AR13^2/Pharmaceutical!$AF13)/(Pharmaceutical!$AF13-1))</f>
        <v>225.99999999999997</v>
      </c>
      <c r="AY53" s="24">
        <f t="shared" si="22"/>
        <v>1.9705633902926905</v>
      </c>
      <c r="AZ53" s="187">
        <f t="shared" si="23"/>
        <v>1.7191063428826479E-68</v>
      </c>
    </row>
    <row r="54" spans="1:52" ht="15.75" thickBot="1" x14ac:dyDescent="0.3">
      <c r="A54" s="262"/>
      <c r="B54" s="15" t="s">
        <v>14</v>
      </c>
      <c r="C54" s="193">
        <f>Pharmaceutical!C14/IncidenceComplications!$G11</f>
        <v>0.55978398447388411</v>
      </c>
      <c r="D54" s="194">
        <f>Pharmaceutical!D14/IncidenceComplications!$G11</f>
        <v>0.30621888448232215</v>
      </c>
      <c r="E54" s="16">
        <f>Pharmaceutical!E14-Pharmaceutical!F14</f>
        <v>15134</v>
      </c>
      <c r="F54" s="40">
        <f>Pharmaceutical!G14-Pharmaceutical!H14</f>
        <v>0.63851151801535744</v>
      </c>
      <c r="G54" s="40">
        <f>SQRT(Pharmaceutical!I14^2+Pharmaceutical!J14^2)</f>
        <v>2.7153311196407781</v>
      </c>
      <c r="H54" s="183">
        <f>(Pharmaceutical!$C14-1)*Pharmaceutical!$I14+(Pharmaceutical!$D14-1)*Pharmaceutical!$J14/(Pharmaceutical!$C14+Pharmaceutical!$D14-2)</f>
        <v>27969.556125483643</v>
      </c>
      <c r="I54" s="40">
        <f>ABS(F54)/(SQRT((Pharmaceutical!I14/Pharmaceutical!$C14)+(Pharmaceutical!J14/Pharmaceutical!$D14)))</f>
        <v>32.140131066026235</v>
      </c>
      <c r="J54" s="183">
        <f>(Pharmaceutical!I14^2/Pharmaceutical!$C14+Pharmaceutical!J14^2/Pharmaceutical!$D14)/((Pharmaceutical!I14^2/Pharmaceutical!$C14)/(Pharmaceutical!$C14-1)+(Pharmaceutical!J14^2/Pharmaceutical!$D14)/(Pharmaceutical!$D14-1))</f>
        <v>9133.7948501895844</v>
      </c>
      <c r="K54" s="25">
        <f t="shared" si="12"/>
        <v>1.9602237655871186</v>
      </c>
      <c r="L54" s="28">
        <f t="shared" si="13"/>
        <v>8.1369864177141049E-215</v>
      </c>
      <c r="M54" s="74">
        <f>Pharmaceutical!K14-Pharmaceutical!L14</f>
        <v>144252.23706000004</v>
      </c>
      <c r="N54" s="77">
        <f>Pharmaceutical!M14-Pharmaceutical!N14</f>
        <v>6.0860786878744424</v>
      </c>
      <c r="O54" s="57">
        <f>SQRT(Pharmaceutical!O14^2+Pharmaceutical!P14^2)</f>
        <v>27.054949537873043</v>
      </c>
      <c r="P54" s="183">
        <f>(Pharmaceutical!$C14-1)*Pharmaceutical!$O14+(Pharmaceutical!$D14-1)*Pharmaceutical!$P14/(Pharmaceutical!$C14+Pharmaceutical!$D14-2)</f>
        <v>285261.75895125198</v>
      </c>
      <c r="Q54" s="40">
        <f>ABS(N54)/(SQRT((Pharmaceutical!O14/Pharmaceutical!$C14)+(Pharmaceutical!P14/Pharmaceutical!$D14)))</f>
        <v>97.667286005120957</v>
      </c>
      <c r="R54" s="183">
        <f>(Pharmaceutical!O14^2/Pharmaceutical!$C14+Pharmaceutical!P14^2/Pharmaceutical!$D14)/((Pharmaceutical!O14^2/Pharmaceutical!$C14)/(Pharmaceutical!$C14-1)+(Pharmaceutical!P14^2/Pharmaceutical!$D14)/(Pharmaceutical!$D14-1))</f>
        <v>9294.6649261778548</v>
      </c>
      <c r="S54" s="25">
        <f t="shared" si="14"/>
        <v>1.9602192648232311</v>
      </c>
      <c r="T54" s="28">
        <f t="shared" si="15"/>
        <v>0</v>
      </c>
      <c r="U54" s="35">
        <f>Pharmaceutical!S14-Pharmaceutical!T14</f>
        <v>3080</v>
      </c>
      <c r="V54" s="40">
        <f>Pharmaceutical!U14-Pharmaceutical!V14</f>
        <v>1.9493670886075951</v>
      </c>
      <c r="W54" s="40">
        <f>SQRT(Pharmaceutical!W14^2+Pharmaceutical!X14^2)</f>
        <v>3.0234013788153256</v>
      </c>
      <c r="X54" s="183">
        <f>(Pharmaceutical!$Q14-1)*Pharmaceutical!$W14+(Pharmaceutical!$R14-1)*Pharmaceutical!$X14/(Pharmaceutical!$Q14+Pharmaceutical!$R14-2)</f>
        <v>3865.612824752076</v>
      </c>
      <c r="Y54" s="40">
        <f>ABS(V54)/(SQRT((Pharmaceutical!W14/Pharmaceutical!$Q14)+(Pharmaceutical!X14/Pharmaceutical!$R14)))</f>
        <v>37.708371655724839</v>
      </c>
      <c r="Z54" s="183">
        <f>(Pharmaceutical!W14^2/Pharmaceutical!$Q14+Pharmaceutical!X14^2/Pharmaceutical!$R14)/((Pharmaceutical!W14^2/Pharmaceutical!$Q14)/(Pharmaceutical!$Q14-1)+(Pharmaceutical!X14^2/Pharmaceutical!$R14)/(Pharmaceutical!$R14-1))</f>
        <v>1578.9999999999998</v>
      </c>
      <c r="AA54" s="25">
        <f t="shared" si="16"/>
        <v>1.9614684591362568</v>
      </c>
      <c r="AB54" s="28">
        <f t="shared" si="17"/>
        <v>2.1447295443245357E-222</v>
      </c>
      <c r="AC54" s="74">
        <f>Pharmaceutical!Y14-Pharmaceutical!Z14</f>
        <v>23852.454031999994</v>
      </c>
      <c r="AD54" s="77">
        <f>Pharmaceutical!AA14-Pharmaceutical!AB14</f>
        <v>15.096489893670881</v>
      </c>
      <c r="AE54" s="57">
        <f>SQRT(Pharmaceutical!AC14^2+Pharmaceutical!AD14^2)</f>
        <v>31.768545262106713</v>
      </c>
      <c r="AF54" s="183">
        <f>(Pharmaceutical!$Q14-1)*Pharmaceutical!$AC14+(Pharmaceutical!$R14-1)*Pharmaceutical!$AD14/(Pharmaceutical!$Q14+Pharmaceutical!$R14-2)</f>
        <v>41223.945824379989</v>
      </c>
      <c r="AG54" s="40">
        <f>ABS(AD54)/(SQRT((Pharmaceutical!AC14/Pharmaceutical!$Q14)+(Pharmaceutical!AD14/Pharmaceutical!$R14)))</f>
        <v>90.24859666690007</v>
      </c>
      <c r="AH54" s="183">
        <f>(Pharmaceutical!AC14^2/Pharmaceutical!$Q14+Pharmaceutical!AD14^2/Pharmaceutical!$R14)/((Pharmaceutical!AC14^2/Pharmaceutical!$Q14)/(Pharmaceutical!$Q14-1)+(Pharmaceutical!AD14^2/Pharmaceutical!$R14)/(Pharmaceutical!$R14-1))</f>
        <v>1579</v>
      </c>
      <c r="AI54" s="25">
        <f t="shared" si="18"/>
        <v>1.9614675056158069</v>
      </c>
      <c r="AJ54" s="28">
        <f t="shared" si="19"/>
        <v>0</v>
      </c>
      <c r="AK54" s="35">
        <f>Pharmaceutical!AG14-Pharmaceutical!AH14</f>
        <v>1809</v>
      </c>
      <c r="AL54" s="40">
        <f>Pharmaceutical!AI14-Pharmaceutical!AJ14</f>
        <v>1.415492957746479</v>
      </c>
      <c r="AM54" s="40">
        <f>SQRT(Pharmaceutical!AK14^2+Pharmaceutical!AL14^2)</f>
        <v>3.1199281719901597</v>
      </c>
      <c r="AN54" s="183">
        <f>(Pharmaceutical!$AE14-1)*Pharmaceutical!$AK14+(Pharmaceutical!$AF14-1)*Pharmaceutical!$AL14/(Pharmaceutical!$AE14+Pharmaceutical!$AF14-2)</f>
        <v>3329.3262314536919</v>
      </c>
      <c r="AO54" s="40">
        <f>ABS(AL54)/(SQRT((Pharmaceutical!AK14/Pharmaceutical!$AE14)+(Pharmaceutical!AL14/Pharmaceutical!$AF14)))</f>
        <v>24.342858639679083</v>
      </c>
      <c r="AP54" s="183">
        <f>(Pharmaceutical!AK14^2/Pharmaceutical!$AE14+Pharmaceutical!AL14^2/Pharmaceutical!$AF14)/((Pharmaceutical!AK14^2/Pharmaceutical!$AE14)/(Pharmaceutical!$AE14-1)+(Pharmaceutical!AL14^2/Pharmaceutical!$AF14)/(Pharmaceutical!$AF14-1))</f>
        <v>1276.9999999999998</v>
      </c>
      <c r="AQ54" s="25">
        <f t="shared" si="20"/>
        <v>1.9618248660371784</v>
      </c>
      <c r="AR54" s="28">
        <f t="shared" si="21"/>
        <v>8.0654522672581433E-108</v>
      </c>
      <c r="AS54" s="74">
        <f>Pharmaceutical!AM14-Pharmaceutical!AN14</f>
        <v>22148.276832000003</v>
      </c>
      <c r="AT54" s="77">
        <f>Pharmaceutical!AO14-Pharmaceutical!AP14</f>
        <v>17.330420056338028</v>
      </c>
      <c r="AU54" s="57">
        <f>SQRT(Pharmaceutical!AQ14^2+Pharmaceutical!AR14^2)</f>
        <v>31.866274120808583</v>
      </c>
      <c r="AV54" s="183">
        <f>(Pharmaceutical!$AE14-1)*Pharmaceutical!$AQ14+(Pharmaceutical!$AF14-1)*Pharmaceutical!$AR14/(Pharmaceutical!$AE14+Pharmaceutical!$AF14-2)</f>
        <v>35975.533933393606</v>
      </c>
      <c r="AW54" s="40">
        <f>ABS(AT54)/(SQRT((Pharmaceutical!AQ14/Pharmaceutical!$AE14)+(Pharmaceutical!AR14/Pharmaceutical!$AF14)))</f>
        <v>94.403110851741943</v>
      </c>
      <c r="AX54" s="183">
        <f>(Pharmaceutical!AQ14^2/Pharmaceutical!$AE14+Pharmaceutical!AR14^2/Pharmaceutical!$AF14)/((Pharmaceutical!AQ14^2/Pharmaceutical!$AE14)/(Pharmaceutical!$AE14-1)+(Pharmaceutical!AR14^2/Pharmaceutical!$AF14)/(Pharmaceutical!$AF14-1))</f>
        <v>1277.0000000000002</v>
      </c>
      <c r="AY54" s="25">
        <f t="shared" si="22"/>
        <v>1.9618234074497347</v>
      </c>
      <c r="AZ54" s="188">
        <f t="shared" si="23"/>
        <v>0</v>
      </c>
    </row>
    <row r="55" spans="1:52" ht="15.75" thickTop="1" x14ac:dyDescent="0.25">
      <c r="A55" s="263">
        <v>2013</v>
      </c>
      <c r="B55" s="5" t="s">
        <v>0</v>
      </c>
      <c r="C55" s="192">
        <f>Pharmaceutical!C15/IncidenceComplications!$G12</f>
        <v>0.886058981233244</v>
      </c>
      <c r="D55" s="192">
        <f>Pharmaceutical!D15/IncidenceComplications!$G12</f>
        <v>0.69034852546916892</v>
      </c>
      <c r="E55" s="3">
        <f>Pharmaceutical!E15-Pharmaceutical!F15</f>
        <v>1224</v>
      </c>
      <c r="F55" s="37">
        <f>Pharmaceutical!G15-Pharmaceutical!H15</f>
        <v>1.6407506702412866</v>
      </c>
      <c r="G55" s="37">
        <f>SQRT(Pharmaceutical!I15^2+Pharmaceutical!J15^2)</f>
        <v>4.3696335125886083</v>
      </c>
      <c r="H55" s="146">
        <f>(Pharmaceutical!$C15-1)*Pharmaceutical!$I15+(Pharmaceutical!$D15-1)*Pharmaceutical!$J15/(Pharmaceutical!$C15+Pharmaceutical!$D15-2)</f>
        <v>2264.0983786844977</v>
      </c>
      <c r="I55" s="37">
        <f>ABS(F55)/(SQRT((Pharmaceutical!I15/Pharmaceutical!$C15)+(Pharmaceutical!J15/Pharmaceutical!$D15)))</f>
        <v>16.052628669283415</v>
      </c>
      <c r="J55" s="146">
        <f>(Pharmaceutical!I15^2/Pharmaceutical!$C15+Pharmaceutical!J15^2/Pharmaceutical!$D15)/((Pharmaceutical!I15^2/Pharmaceutical!$C15)/(Pharmaceutical!$C15-1)+(Pharmaceutical!J15^2/Pharmaceutical!$D15)/(Pharmaceutical!$D15-1))</f>
        <v>585.96578591262062</v>
      </c>
      <c r="K55" s="23">
        <f t="shared" si="12"/>
        <v>1.9640274093101926</v>
      </c>
      <c r="L55" s="26">
        <f t="shared" si="13"/>
        <v>2.567535975374805E-48</v>
      </c>
      <c r="M55" s="54">
        <f>Pharmaceutical!K15-Pharmaceutical!L15</f>
        <v>5862.6940000000004</v>
      </c>
      <c r="N55" s="69">
        <f>Pharmaceutical!M15-Pharmaceutical!N15</f>
        <v>7.8588391420911545</v>
      </c>
      <c r="O55" s="49">
        <f>SQRT(Pharmaceutical!O15^2+Pharmaceutical!P15^2)</f>
        <v>23.59423136074847</v>
      </c>
      <c r="P55" s="146">
        <f>(Pharmaceutical!$C15-1)*Pharmaceutical!$O15+(Pharmaceutical!$D15-1)*Pharmaceutical!$P15/(Pharmaceutical!$C15+Pharmaceutical!$D15-2)</f>
        <v>12649.114752311414</v>
      </c>
      <c r="Q55" s="37">
        <f>ABS(N55)/(SQRT((Pharmaceutical!O15/Pharmaceutical!$C15)+(Pharmaceutical!P15/Pharmaceutical!$D15)))</f>
        <v>33.291018775063932</v>
      </c>
      <c r="R55" s="146">
        <f>(Pharmaceutical!O15^2/Pharmaceutical!$C15+Pharmaceutical!P15^2/Pharmaceutical!$D15)/((Pharmaceutical!O15^2/Pharmaceutical!$C15)/(Pharmaceutical!$C15-1)+(Pharmaceutical!P15^2/Pharmaceutical!$D15)/(Pharmaceutical!$D15-1))</f>
        <v>592.82958653654566</v>
      </c>
      <c r="S55" s="23">
        <f t="shared" si="14"/>
        <v>1.9639792653928858</v>
      </c>
      <c r="T55" s="26">
        <f t="shared" si="15"/>
        <v>9.5589857499266854E-138</v>
      </c>
      <c r="U55" s="2">
        <f>Pharmaceutical!S15-Pharmaceutical!T15</f>
        <v>695</v>
      </c>
      <c r="V55" s="37">
        <f>Pharmaceutical!U15-Pharmaceutical!V15</f>
        <v>3.3413461538461533</v>
      </c>
      <c r="W55" s="37">
        <f>SQRT(Pharmaceutical!W15^2+Pharmaceutical!X15^2)</f>
        <v>4.7875503399869466</v>
      </c>
      <c r="X55" s="146">
        <f>(Pharmaceutical!$Q15-1)*Pharmaceutical!$W15+(Pharmaceutical!$R15-1)*Pharmaceutical!$X15/(Pharmaceutical!$Q15+Pharmaceutical!$R15-2)</f>
        <v>790.28227776500012</v>
      </c>
      <c r="Y55" s="37">
        <f>ABS(V55)/(SQRT((Pharmaceutical!W15/Pharmaceutical!$Q15)+(Pharmaceutical!X15/Pharmaceutical!$R15)))</f>
        <v>18.605030641120649</v>
      </c>
      <c r="Z55" s="146">
        <f>(Pharmaceutical!W15^2/Pharmaceutical!$Q15+Pharmaceutical!X15^2/Pharmaceutical!$R15)/((Pharmaceutical!W15^2/Pharmaceutical!$Q15)/(Pharmaceutical!$Q15-1)+(Pharmaceutical!X15^2/Pharmaceutical!$R15)/(Pharmaceutical!$R15-1))</f>
        <v>206.99999999999997</v>
      </c>
      <c r="AA55" s="23">
        <f t="shared" si="16"/>
        <v>1.9715466694452266</v>
      </c>
      <c r="AB55" s="26">
        <f t="shared" si="17"/>
        <v>5.5120987903702543E-46</v>
      </c>
      <c r="AC55" s="54">
        <f>Pharmaceutical!Y15-Pharmaceutical!Z15</f>
        <v>3572.5873999999994</v>
      </c>
      <c r="AD55" s="69">
        <f>Pharmaceutical!AA15-Pharmaceutical!AB15</f>
        <v>17.17590096153846</v>
      </c>
      <c r="AE55" s="49">
        <f>SQRT(Pharmaceutical!AC15^2+Pharmaceutical!AD15^2)</f>
        <v>28.565708073408054</v>
      </c>
      <c r="AF55" s="146">
        <f>(Pharmaceutical!$Q15-1)*Pharmaceutical!$AC15+(Pharmaceutical!$R15-1)*Pharmaceutical!$AD15/(Pharmaceutical!$Q15+Pharmaceutical!$R15-2)</f>
        <v>4823.8126178000002</v>
      </c>
      <c r="AG55" s="37">
        <f>ABS(AD55)/(SQRT((Pharmaceutical!AC15/Pharmaceutical!$Q15)+(Pharmaceutical!AD15/Pharmaceutical!$R15)))</f>
        <v>39.245201268128909</v>
      </c>
      <c r="AH55" s="146">
        <f>(Pharmaceutical!AC15^2/Pharmaceutical!$Q15+Pharmaceutical!AD15^2/Pharmaceutical!$R15)/((Pharmaceutical!AC15^2/Pharmaceutical!$Q15)/(Pharmaceutical!$Q15-1)+(Pharmaceutical!AD15^2/Pharmaceutical!$R15)/(Pharmaceutical!$R15-1))</f>
        <v>207</v>
      </c>
      <c r="AI55" s="23">
        <f t="shared" si="18"/>
        <v>1.9714903918673408</v>
      </c>
      <c r="AJ55" s="26">
        <f t="shared" si="19"/>
        <v>7.786974466390035E-98</v>
      </c>
      <c r="AK55" s="2">
        <f>Pharmaceutical!AG15-Pharmaceutical!AH15</f>
        <v>308</v>
      </c>
      <c r="AL55" s="37">
        <f>Pharmaceutical!AI15-Pharmaceutical!AJ15</f>
        <v>3.04950495049505</v>
      </c>
      <c r="AM55" s="37">
        <f>SQRT(Pharmaceutical!AK15^2+Pharmaceutical!AL15^2)</f>
        <v>4.9654050681304991</v>
      </c>
      <c r="AN55" s="146">
        <f>(Pharmaceutical!$AE15-1)*Pharmaceutical!$AK15+(Pharmaceutical!$AF15-1)*Pharmaceutical!$AL15/(Pharmaceutical!$AE15+Pharmaceutical!$AF15-2)</f>
        <v>424.19075789500005</v>
      </c>
      <c r="AO55" s="37">
        <f>ABS(AL55)/(SQRT((Pharmaceutical!AK15/Pharmaceutical!$AE15)+(Pharmaceutical!AL15/Pharmaceutical!$AF15)))</f>
        <v>11.725823926096925</v>
      </c>
      <c r="AP55" s="146">
        <f>(Pharmaceutical!AK15^2/Pharmaceutical!$AE15+Pharmaceutical!AL15^2/Pharmaceutical!$AF15)/((Pharmaceutical!AK15^2/Pharmaceutical!$AE15)/(Pharmaceutical!$AE15-1)+(Pharmaceutical!AL15^2/Pharmaceutical!$AF15)/(Pharmaceutical!$AF15-1))</f>
        <v>100</v>
      </c>
      <c r="AQ55" s="23">
        <f t="shared" si="20"/>
        <v>1.9839715185235556</v>
      </c>
      <c r="AR55" s="26">
        <f t="shared" si="21"/>
        <v>1.7130695430414311E-20</v>
      </c>
      <c r="AS55" s="54">
        <f>Pharmaceutical!AM15-Pharmaceutical!AN15</f>
        <v>1725.817728</v>
      </c>
      <c r="AT55" s="69">
        <f>Pharmaceutical!AO15-Pharmaceutical!AP15</f>
        <v>17.087304237623762</v>
      </c>
      <c r="AU55" s="49">
        <f>SQRT(Pharmaceutical!AQ15^2+Pharmaceutical!AR15^2)</f>
        <v>28.025163941074972</v>
      </c>
      <c r="AV55" s="146">
        <f>(Pharmaceutical!$AE15-1)*Pharmaceutical!$AQ15+(Pharmaceutical!$AF15-1)*Pharmaceutical!$AR15/(Pharmaceutical!$AE15+Pharmaceutical!$AF15-2)</f>
        <v>2470.2662163</v>
      </c>
      <c r="AW55" s="37">
        <f>ABS(AT55)/(SQRT((Pharmaceutical!AQ15/Pharmaceutical!$AE15)+(Pharmaceutical!AR15/Pharmaceutical!$AF15)))</f>
        <v>27.859111823910411</v>
      </c>
      <c r="AX55" s="146">
        <f>(Pharmaceutical!AQ15^2/Pharmaceutical!$AE15+Pharmaceutical!AR15^2/Pharmaceutical!$AF15)/((Pharmaceutical!AQ15^2/Pharmaceutical!$AE15)/(Pharmaceutical!$AE15-1)+(Pharmaceutical!AR15^2/Pharmaceutical!$AF15)/(Pharmaceutical!$AF15-1))</f>
        <v>100.00000000000001</v>
      </c>
      <c r="AY55" s="23">
        <f t="shared" si="22"/>
        <v>1.9839715185235556</v>
      </c>
      <c r="AZ55" s="186">
        <f t="shared" si="23"/>
        <v>6.2833916421084867E-49</v>
      </c>
    </row>
    <row r="56" spans="1:52" x14ac:dyDescent="0.25">
      <c r="A56" s="261"/>
      <c r="B56" s="5" t="s">
        <v>1</v>
      </c>
      <c r="C56" s="192">
        <f>Pharmaceutical!C16/IncidenceComplications!$G13</f>
        <v>0.89567723342939476</v>
      </c>
      <c r="D56" s="192">
        <f>Pharmaceutical!D16/IncidenceComplications!$G13</f>
        <v>0.70028818443804031</v>
      </c>
      <c r="E56" s="3">
        <f>Pharmaceutical!E16-Pharmaceutical!F16</f>
        <v>4718</v>
      </c>
      <c r="F56" s="37">
        <f>Pharmaceutical!G16-Pharmaceutical!H16</f>
        <v>1.3596541786743517</v>
      </c>
      <c r="G56" s="37">
        <f>SQRT(Pharmaceutical!I16^2+Pharmaceutical!J16^2)</f>
        <v>4.1686469818430192</v>
      </c>
      <c r="H56" s="146">
        <f>(Pharmaceutical!$C16-1)*Pharmaceutical!$I16+(Pharmaceutical!$D16-1)*Pharmaceutical!$J16/(Pharmaceutical!$C16+Pharmaceutical!$D16-2)</f>
        <v>9477.8602907660043</v>
      </c>
      <c r="I56" s="37">
        <f>ABS(F56)/(SQRT((Pharmaceutical!I16/Pharmaceutical!$C16)+(Pharmaceutical!J16/Pharmaceutical!$D16)))</f>
        <v>29.317997854555976</v>
      </c>
      <c r="J56" s="146">
        <f>(Pharmaceutical!I16^2/Pharmaceutical!$C16+Pharmaceutical!J16^2/Pharmaceutical!$D16)/((Pharmaceutical!I16^2/Pharmaceutical!$C16)/(Pharmaceutical!$C16-1)+(Pharmaceutical!J16^2/Pharmaceutical!$D16)/(Pharmaceutical!$D16-1))</f>
        <v>2709.166298450155</v>
      </c>
      <c r="K56" s="23">
        <f t="shared" si="12"/>
        <v>1.9608400692486587</v>
      </c>
      <c r="L56" s="26">
        <f t="shared" si="13"/>
        <v>2.4243806208461192E-164</v>
      </c>
      <c r="M56" s="54">
        <f>Pharmaceutical!K16-Pharmaceutical!L16</f>
        <v>27685.917600000001</v>
      </c>
      <c r="N56" s="69">
        <f>Pharmaceutical!M16-Pharmaceutical!N16</f>
        <v>7.9786506051873189</v>
      </c>
      <c r="O56" s="49">
        <f>SQRT(Pharmaceutical!O16^2+Pharmaceutical!P16^2)</f>
        <v>29.017489858701335</v>
      </c>
      <c r="P56" s="146">
        <f>(Pharmaceutical!$C16-1)*Pharmaceutical!$O16+(Pharmaceutical!$D16-1)*Pharmaceutical!$P16/(Pharmaceutical!$C16+Pharmaceutical!$D16-2)</f>
        <v>68550.969262281826</v>
      </c>
      <c r="Q56" s="37">
        <f>ABS(N56)/(SQRT((Pharmaceutical!O16/Pharmaceutical!$C16)+(Pharmaceutical!P16/Pharmaceutical!$D16)))</f>
        <v>65.461638926750481</v>
      </c>
      <c r="R56" s="146">
        <f>(Pharmaceutical!O16^2/Pharmaceutical!$C16+Pharmaceutical!P16^2/Pharmaceutical!$D16)/((Pharmaceutical!O16^2/Pharmaceutical!$C16)/(Pharmaceutical!$C16-1)+(Pharmaceutical!P16^2/Pharmaceutical!$D16)/(Pharmaceutical!$D16-1))</f>
        <v>2737.9522599935094</v>
      </c>
      <c r="S56" s="23">
        <f t="shared" si="14"/>
        <v>1.9608311028483882</v>
      </c>
      <c r="T56" s="26">
        <f t="shared" si="15"/>
        <v>0</v>
      </c>
      <c r="U56" s="2">
        <f>Pharmaceutical!S16-Pharmaceutical!T16</f>
        <v>2779</v>
      </c>
      <c r="V56" s="37">
        <f>Pharmaceutical!U16-Pharmaceutical!V16</f>
        <v>2.3491124260355027</v>
      </c>
      <c r="W56" s="37">
        <f>SQRT(Pharmaceutical!W16^2+Pharmaceutical!X16^2)</f>
        <v>4.3745348597093709</v>
      </c>
      <c r="X56" s="146">
        <f>(Pharmaceutical!$Q16-1)*Pharmaceutical!$W16+(Pharmaceutical!$R16-1)*Pharmaceutical!$X16/(Pharmaceutical!$Q16+Pharmaceutical!$R16-2)</f>
        <v>3857.5422736700002</v>
      </c>
      <c r="Y56" s="37">
        <f>ABS(V56)/(SQRT((Pharmaceutical!W16/Pharmaceutical!$Q16)+(Pharmaceutical!X16/Pharmaceutical!$R16)))</f>
        <v>32.50998122421916</v>
      </c>
      <c r="Z56" s="146">
        <f>(Pharmaceutical!W16^2/Pharmaceutical!$Q16+Pharmaceutical!X16^2/Pharmaceutical!$R16)/((Pharmaceutical!W16^2/Pharmaceutical!$Q16)/(Pharmaceutical!$Q16-1)+(Pharmaceutical!X16^2/Pharmaceutical!$R16)/(Pharmaceutical!$R16-1))</f>
        <v>1182</v>
      </c>
      <c r="AA56" s="23">
        <f t="shared" si="16"/>
        <v>1.9619730039658854</v>
      </c>
      <c r="AB56" s="26">
        <f t="shared" si="17"/>
        <v>3.7556258598950273E-166</v>
      </c>
      <c r="AC56" s="54">
        <f>Pharmaceutical!Y16-Pharmaceutical!Z16</f>
        <v>17777.995199999998</v>
      </c>
      <c r="AD56" s="69">
        <f>Pharmaceutical!AA16-Pharmaceutical!AB16</f>
        <v>15.027891124260352</v>
      </c>
      <c r="AE56" s="49">
        <f>SQRT(Pharmaceutical!AC16^2+Pharmaceutical!AD16^2)</f>
        <v>29.414743330073463</v>
      </c>
      <c r="AF56" s="146">
        <f>(Pharmaceutical!$Q16-1)*Pharmaceutical!$AC16+(Pharmaceutical!$R16-1)*Pharmaceutical!$AD16/(Pharmaceutical!$Q16+Pharmaceutical!$R16-2)</f>
        <v>26351.538386299999</v>
      </c>
      <c r="AG56" s="37">
        <f>ABS(AD56)/(SQRT((Pharmaceutical!AC16/Pharmaceutical!$Q16)+(Pharmaceutical!AD16/Pharmaceutical!$R16)))</f>
        <v>80.250967115605462</v>
      </c>
      <c r="AH56" s="146">
        <f>(Pharmaceutical!AC16^2/Pharmaceutical!$Q16+Pharmaceutical!AD16^2/Pharmaceutical!$R16)/((Pharmaceutical!AC16^2/Pharmaceutical!$Q16)/(Pharmaceutical!$Q16-1)+(Pharmaceutical!AD16^2/Pharmaceutical!$R16)/(Pharmaceutical!$R16-1))</f>
        <v>1182</v>
      </c>
      <c r="AI56" s="23">
        <f t="shared" si="18"/>
        <v>1.9619730039658854</v>
      </c>
      <c r="AJ56" s="26">
        <f t="shared" si="19"/>
        <v>0</v>
      </c>
      <c r="AK56" s="2">
        <f>Pharmaceutical!AG16-Pharmaceutical!AH16</f>
        <v>891</v>
      </c>
      <c r="AL56" s="37">
        <f>Pharmaceutical!AI16-Pharmaceutical!AJ16</f>
        <v>2.1945812807881775</v>
      </c>
      <c r="AM56" s="37">
        <f>SQRT(Pharmaceutical!AK16^2+Pharmaceutical!AL16^2)</f>
        <v>4.6266148147429895</v>
      </c>
      <c r="AN56" s="146">
        <f>(Pharmaceutical!$AE16-1)*Pharmaceutical!$AK16+(Pharmaceutical!$AF16-1)*Pharmaceutical!$AL16/(Pharmaceutical!$AE16+Pharmaceutical!$AF16-2)</f>
        <v>1387.4995417600001</v>
      </c>
      <c r="AO56" s="37">
        <f>ABS(AL56)/(SQRT((Pharmaceutical!AK16/Pharmaceutical!$AE16)+(Pharmaceutical!AL16/Pharmaceutical!$AF16)))</f>
        <v>17.296849845829609</v>
      </c>
      <c r="AP56" s="146">
        <f>(Pharmaceutical!AK16^2/Pharmaceutical!$AE16+Pharmaceutical!AL16^2/Pharmaceutical!$AF16)/((Pharmaceutical!AK16^2/Pharmaceutical!$AE16)/(Pharmaceutical!$AE16-1)+(Pharmaceutical!AL16^2/Pharmaceutical!$AF16)/(Pharmaceutical!$AF16-1))</f>
        <v>404.99999999999994</v>
      </c>
      <c r="AQ56" s="23">
        <f t="shared" si="20"/>
        <v>1.9658532748778061</v>
      </c>
      <c r="AR56" s="26">
        <f t="shared" si="21"/>
        <v>1.4591120418067731E-50</v>
      </c>
      <c r="AS56" s="54">
        <f>Pharmaceutical!AM16-Pharmaceutical!AN16</f>
        <v>6655.8277399999997</v>
      </c>
      <c r="AT56" s="69">
        <f>Pharmaceutical!AO16-Pharmaceutical!AP16</f>
        <v>16.393664384236448</v>
      </c>
      <c r="AU56" s="49">
        <f>SQRT(Pharmaceutical!AQ16^2+Pharmaceutical!AR16^2)</f>
        <v>31.897405026993564</v>
      </c>
      <c r="AV56" s="146">
        <f>(Pharmaceutical!$AE16-1)*Pharmaceutical!$AQ16+(Pharmaceutical!$AF16-1)*Pharmaceutical!$AR16/(Pharmaceutical!$AE16+Pharmaceutical!$AF16-2)</f>
        <v>9779.6712980999982</v>
      </c>
      <c r="AW56" s="37">
        <f>ABS(AT56)/(SQRT((Pharmaceutical!AQ16/Pharmaceutical!$AE16)+(Pharmaceutical!AR16/Pharmaceutical!$AF16)))</f>
        <v>49.245795477980288</v>
      </c>
      <c r="AX56" s="146">
        <f>(Pharmaceutical!AQ16^2/Pharmaceutical!$AE16+Pharmaceutical!AR16^2/Pharmaceutical!$AF16)/((Pharmaceutical!AQ16^2/Pharmaceutical!$AE16)/(Pharmaceutical!$AE16-1)+(Pharmaceutical!AR16^2/Pharmaceutical!$AF16)/(Pharmaceutical!$AF16-1))</f>
        <v>404.99999999999994</v>
      </c>
      <c r="AY56" s="23">
        <f t="shared" si="22"/>
        <v>1.9658532748778061</v>
      </c>
      <c r="AZ56" s="186">
        <f t="shared" si="23"/>
        <v>7.6973418442180406E-173</v>
      </c>
    </row>
    <row r="57" spans="1:52" x14ac:dyDescent="0.25">
      <c r="A57" s="261"/>
      <c r="B57" s="5" t="s">
        <v>2</v>
      </c>
      <c r="C57" s="192">
        <f>Pharmaceutical!C17/IncidenceComplications!$G14</f>
        <v>0.84689323721249576</v>
      </c>
      <c r="D57" s="192">
        <f>Pharmaceutical!D17/IncidenceComplications!$G14</f>
        <v>0.48952969447305184</v>
      </c>
      <c r="E57" s="3">
        <f>Pharmaceutical!E17-Pharmaceutical!F17</f>
        <v>4020</v>
      </c>
      <c r="F57" s="37">
        <f>Pharmaceutical!G17-Pharmaceutical!H17</f>
        <v>1.3800205973223481</v>
      </c>
      <c r="G57" s="37">
        <f>SQRT(Pharmaceutical!I17^2+Pharmaceutical!J17^2)</f>
        <v>3.1529025892985563</v>
      </c>
      <c r="H57" s="146">
        <f>(Pharmaceutical!$C17-1)*Pharmaceutical!$I17+(Pharmaceutical!$D17-1)*Pharmaceutical!$J17/(Pharmaceutical!$C17+Pharmaceutical!$D17-2)</f>
        <v>5904.0676935843258</v>
      </c>
      <c r="I57" s="37">
        <f>ABS(F57)/(SQRT((Pharmaceutical!I17/Pharmaceutical!$C17)+(Pharmaceutical!J17/Pharmaceutical!$D17)))</f>
        <v>28.115411834655291</v>
      </c>
      <c r="J57" s="146">
        <f>(Pharmaceutical!I17^2/Pharmaceutical!$C17+Pharmaceutical!J17^2/Pharmaceutical!$D17)/((Pharmaceutical!I17^2/Pharmaceutical!$C17)/(Pharmaceutical!$C17-1)+(Pharmaceutical!J17^2/Pharmaceutical!$D17)/(Pharmaceutical!$D17-1))</f>
        <v>1750.3673954285221</v>
      </c>
      <c r="K57" s="23">
        <f t="shared" si="12"/>
        <v>1.9613204902094443</v>
      </c>
      <c r="L57" s="26">
        <f t="shared" si="13"/>
        <v>7.7776970895589563E-144</v>
      </c>
      <c r="M57" s="54">
        <f>Pharmaceutical!K17-Pharmaceutical!L17</f>
        <v>18612.874399999997</v>
      </c>
      <c r="N57" s="69">
        <f>Pharmaceutical!M17-Pharmaceutical!N17</f>
        <v>6.3895895640233409</v>
      </c>
      <c r="O57" s="49">
        <f>SQRT(Pharmaceutical!O17^2+Pharmaceutical!P17^2)</f>
        <v>95.226539870646491</v>
      </c>
      <c r="P57" s="146">
        <f>(Pharmaceutical!$C17-1)*Pharmaceutical!$O17+(Pharmaceutical!$D17-1)*Pharmaceutical!$P17/(Pharmaceutical!$C17+Pharmaceutical!$D17-2)</f>
        <v>48303.172930215645</v>
      </c>
      <c r="Q57" s="37">
        <f>ABS(N57)/(SQRT((Pharmaceutical!O17/Pharmaceutical!$C17)+(Pharmaceutical!P17/Pharmaceutical!$D17)))</f>
        <v>23.602566695146958</v>
      </c>
      <c r="R57" s="146">
        <f>(Pharmaceutical!O17^2/Pharmaceutical!$C17+Pharmaceutical!P17^2/Pharmaceutical!$D17)/((Pharmaceutical!O17^2/Pharmaceutical!$C17)/(Pharmaceutical!$C17-1)+(Pharmaceutical!P17^2/Pharmaceutical!$D17)/(Pharmaceutical!$D17-1))</f>
        <v>1440.1165823274007</v>
      </c>
      <c r="S57" s="23">
        <f t="shared" si="14"/>
        <v>1.9616127571316804</v>
      </c>
      <c r="T57" s="26">
        <f t="shared" si="15"/>
        <v>2.1638521634965591E-104</v>
      </c>
      <c r="U57" s="2">
        <f>Pharmaceutical!S17-Pharmaceutical!T17</f>
        <v>1227</v>
      </c>
      <c r="V57" s="37">
        <f>Pharmaceutical!U17-Pharmaceutical!V17</f>
        <v>2.6673913043478263</v>
      </c>
      <c r="W57" s="37">
        <f>SQRT(Pharmaceutical!W17^2+Pharmaceutical!X17^2)</f>
        <v>3.600881750178174</v>
      </c>
      <c r="X57" s="146">
        <f>(Pharmaceutical!$Q17-1)*Pharmaceutical!$W17+(Pharmaceutical!$R17-1)*Pharmaceutical!$X17/(Pharmaceutical!$Q17+Pharmaceutical!$R17-2)</f>
        <v>1329.1460433500001</v>
      </c>
      <c r="Y57" s="37">
        <f>ABS(V57)/(SQRT((Pharmaceutical!W17/Pharmaceutical!$Q17)+(Pharmaceutical!X17/Pharmaceutical!$R17)))</f>
        <v>25.490841277610699</v>
      </c>
      <c r="Z57" s="146">
        <f>(Pharmaceutical!W17^2/Pharmaceutical!$Q17+Pharmaceutical!X17^2/Pharmaceutical!$R17)/((Pharmaceutical!W17^2/Pharmaceutical!$Q17)/(Pharmaceutical!$Q17-1)+(Pharmaceutical!X17^2/Pharmaceutical!$R17)/(Pharmaceutical!$R17-1))</f>
        <v>459</v>
      </c>
      <c r="AA57" s="23">
        <f t="shared" si="16"/>
        <v>1.965145754937824</v>
      </c>
      <c r="AB57" s="26">
        <f t="shared" si="17"/>
        <v>6.0242146107079296E-90</v>
      </c>
      <c r="AC57" s="54">
        <f>Pharmaceutical!Y17-Pharmaceutical!Z17</f>
        <v>8315.4587200000005</v>
      </c>
      <c r="AD57" s="69">
        <f>Pharmaceutical!AA17-Pharmaceutical!AB17</f>
        <v>18.077084173913043</v>
      </c>
      <c r="AE57" s="49">
        <f>SQRT(Pharmaceutical!AC17^2+Pharmaceutical!AD17^2)</f>
        <v>28.611904821710059</v>
      </c>
      <c r="AF57" s="146">
        <f>(Pharmaceutical!$Q17-1)*Pharmaceutical!$AC17+(Pharmaceutical!$R17-1)*Pharmaceutical!$AD17/(Pharmaceutical!$Q17+Pharmaceutical!$R17-2)</f>
        <v>10941.12839175</v>
      </c>
      <c r="AG57" s="37">
        <f>ABS(AD57)/(SQRT((Pharmaceutical!AC17/Pharmaceutical!$Q17)+(Pharmaceutical!AD17/Pharmaceutical!$R17)))</f>
        <v>61.556030950900372</v>
      </c>
      <c r="AH57" s="146">
        <f>(Pharmaceutical!AC17^2/Pharmaceutical!$Q17+Pharmaceutical!AD17^2/Pharmaceutical!$R17)/((Pharmaceutical!AC17^2/Pharmaceutical!$Q17)/(Pharmaceutical!$Q17-1)+(Pharmaceutical!AD17^2/Pharmaceutical!$R17)/(Pharmaceutical!$R17-1))</f>
        <v>459.00000000000006</v>
      </c>
      <c r="AI57" s="23">
        <f t="shared" si="18"/>
        <v>1.965145754937824</v>
      </c>
      <c r="AJ57" s="26">
        <f t="shared" si="19"/>
        <v>6.4532442240851777E-224</v>
      </c>
      <c r="AK57" s="2">
        <f>Pharmaceutical!AG17-Pharmaceutical!AH17</f>
        <v>378</v>
      </c>
      <c r="AL57" s="37">
        <f>Pharmaceutical!AI17-Pharmaceutical!AJ17</f>
        <v>2.290909090909091</v>
      </c>
      <c r="AM57" s="37">
        <f>SQRT(Pharmaceutical!AK17^2+Pharmaceutical!AL17^2)</f>
        <v>3.5261665766273316</v>
      </c>
      <c r="AN57" s="146">
        <f>(Pharmaceutical!$AE17-1)*Pharmaceutical!$AK17+(Pharmaceutical!$AF17-1)*Pharmaceutical!$AL17/(Pharmaceutical!$AE17+Pharmaceutical!$AF17-2)</f>
        <v>489.79445030000005</v>
      </c>
      <c r="AO57" s="37">
        <f>ABS(AL57)/(SQRT((Pharmaceutical!AK17/Pharmaceutical!$AE17)+(Pharmaceutical!AL17/Pharmaceutical!$AF17)))</f>
        <v>13.342177579163115</v>
      </c>
      <c r="AP57" s="146">
        <f>(Pharmaceutical!AK17^2/Pharmaceutical!$AE17+Pharmaceutical!AL17^2/Pharmaceutical!$AF17)/((Pharmaceutical!AK17^2/Pharmaceutical!$AE17)/(Pharmaceutical!$AE17-1)+(Pharmaceutical!AL17^2/Pharmaceutical!$AF17)/(Pharmaceutical!$AF17-1))</f>
        <v>164</v>
      </c>
      <c r="AQ57" s="23">
        <f t="shared" si="20"/>
        <v>1.9745345758584751</v>
      </c>
      <c r="AR57" s="26">
        <f t="shared" si="21"/>
        <v>5.7398563416348523E-28</v>
      </c>
      <c r="AS57" s="54">
        <f>Pharmaceutical!AM17-Pharmaceutical!AN17</f>
        <v>2961.7393800000004</v>
      </c>
      <c r="AT57" s="69">
        <f>Pharmaceutical!AO17-Pharmaceutical!AP17</f>
        <v>17.949935636363637</v>
      </c>
      <c r="AU57" s="49">
        <f>SQRT(Pharmaceutical!AQ17^2+Pharmaceutical!AR17^2)</f>
        <v>30.373724189526868</v>
      </c>
      <c r="AV57" s="146">
        <f>(Pharmaceutical!$AE17-1)*Pharmaceutical!$AQ17+(Pharmaceutical!$AF17-1)*Pharmaceutical!$AR17/(Pharmaceutical!$AE17+Pharmaceutical!$AF17-2)</f>
        <v>4294.5462868000004</v>
      </c>
      <c r="AW57" s="37">
        <f>ABS(AT57)/(SQRT((Pharmaceutical!AQ17/Pharmaceutical!$AE17)+(Pharmaceutical!AR17/Pharmaceutical!$AF17)))</f>
        <v>35.744763488987793</v>
      </c>
      <c r="AX57" s="146">
        <f>(Pharmaceutical!AQ17^2/Pharmaceutical!$AE17+Pharmaceutical!AR17^2/Pharmaceutical!$AF17)/((Pharmaceutical!AQ17^2/Pharmaceutical!$AE17)/(Pharmaceutical!$AE17-1)+(Pharmaceutical!AR17^2/Pharmaceutical!$AF17)/(Pharmaceutical!$AF17-1))</f>
        <v>164</v>
      </c>
      <c r="AY57" s="23">
        <f t="shared" si="22"/>
        <v>1.9745345758584751</v>
      </c>
      <c r="AZ57" s="186">
        <f t="shared" si="23"/>
        <v>2.5673883349089111E-79</v>
      </c>
    </row>
    <row r="58" spans="1:52" x14ac:dyDescent="0.25">
      <c r="A58" s="261"/>
      <c r="B58" s="5" t="s">
        <v>3</v>
      </c>
      <c r="C58" s="192">
        <f>Pharmaceutical!C18/IncidenceComplications!$G15</f>
        <v>0.61435832274459978</v>
      </c>
      <c r="D58" s="192">
        <f>Pharmaceutical!D18/IncidenceComplications!$G15</f>
        <v>0.27700127064803048</v>
      </c>
      <c r="E58" s="3">
        <f>Pharmaceutical!E18-Pharmaceutical!F18</f>
        <v>4161</v>
      </c>
      <c r="F58" s="37">
        <f>Pharmaceutical!G18-Pharmaceutical!H18</f>
        <v>0.88119440914866587</v>
      </c>
      <c r="G58" s="37">
        <f>SQRT(Pharmaceutical!I18^2+Pharmaceutical!J18^2)</f>
        <v>2.2439865473531557</v>
      </c>
      <c r="H58" s="146">
        <f>(Pharmaceutical!$C18-1)*Pharmaceutical!$I18+(Pharmaceutical!$D18-1)*Pharmaceutical!$J18/(Pharmaceutical!$C18+Pharmaceutical!$D18-2)</f>
        <v>5315.4610268150673</v>
      </c>
      <c r="I58" s="37">
        <f>ABS(F58)/(SQRT((Pharmaceutical!I18/Pharmaceutical!$C18)+(Pharmaceutical!J18/Pharmaceutical!$D18)))</f>
        <v>21.882305557025731</v>
      </c>
      <c r="J58" s="146">
        <f>(Pharmaceutical!I18^2/Pharmaceutical!$C18+Pharmaceutical!J18^2/Pharmaceutical!$D18)/((Pharmaceutical!I18^2/Pharmaceutical!$C18)/(Pharmaceutical!$C18-1)+(Pharmaceutical!J18^2/Pharmaceutical!$D18)/(Pharmaceutical!$D18-1))</f>
        <v>1767.9444372657438</v>
      </c>
      <c r="K58" s="23">
        <f t="shared" si="12"/>
        <v>1.9613074307135472</v>
      </c>
      <c r="L58" s="26">
        <f t="shared" si="13"/>
        <v>4.0185467483648908E-94</v>
      </c>
      <c r="M58" s="54">
        <f>Pharmaceutical!K18-Pharmaceutical!L18</f>
        <v>43713.428100000005</v>
      </c>
      <c r="N58" s="69">
        <f>Pharmaceutical!M18-Pharmaceutical!N18</f>
        <v>9.2573968869123249</v>
      </c>
      <c r="O58" s="49">
        <f>SQRT(Pharmaceutical!O18^2+Pharmaceutical!P18^2)</f>
        <v>87.77220038093607</v>
      </c>
      <c r="P58" s="146">
        <f>(Pharmaceutical!$C18-1)*Pharmaceutical!$O18+(Pharmaceutical!$D18-1)*Pharmaceutical!$P18/(Pharmaceutical!$C18+Pharmaceutical!$D18-2)</f>
        <v>252117.42683438485</v>
      </c>
      <c r="Q58" s="37">
        <f>ABS(N58)/(SQRT((Pharmaceutical!O18/Pharmaceutical!$C18)+(Pharmaceutical!P18/Pharmaceutical!$D18)))</f>
        <v>46.751205284376809</v>
      </c>
      <c r="R58" s="146">
        <f>(Pharmaceutical!O18^2/Pharmaceutical!$C18+Pharmaceutical!P18^2/Pharmaceutical!$D18)/((Pharmaceutical!O18^2/Pharmaceutical!$C18)/(Pharmaceutical!$C18-1)+(Pharmaceutical!P18^2/Pharmaceutical!$D18)/(Pharmaceutical!$D18-1))</f>
        <v>2761.5922551704348</v>
      </c>
      <c r="S58" s="23">
        <f t="shared" si="14"/>
        <v>1.9608235621712407</v>
      </c>
      <c r="T58" s="26">
        <f t="shared" si="15"/>
        <v>0</v>
      </c>
      <c r="U58" s="2">
        <f>Pharmaceutical!S18-Pharmaceutical!T18</f>
        <v>672</v>
      </c>
      <c r="V58" s="37">
        <f>Pharmaceutical!U18-Pharmaceutical!V18</f>
        <v>2.0180180180180178</v>
      </c>
      <c r="W58" s="37">
        <f>SQRT(Pharmaceutical!W18^2+Pharmaceutical!X18^2)</f>
        <v>2.9908927472632123</v>
      </c>
      <c r="X58" s="146">
        <f>(Pharmaceutical!$Q18-1)*Pharmaceutical!$W18+(Pharmaceutical!$R18-1)*Pharmaceutical!$X18/(Pharmaceutical!$Q18+Pharmaceutical!$R18-2)</f>
        <v>860.56156071499993</v>
      </c>
      <c r="Y58" s="37">
        <f>ABS(V58)/(SQRT((Pharmaceutical!W18/Pharmaceutical!$Q18)+(Pharmaceutical!X18/Pharmaceutical!$R18)))</f>
        <v>18.218063403324102</v>
      </c>
      <c r="Z58" s="146">
        <f>(Pharmaceutical!W18^2/Pharmaceutical!$Q18+Pharmaceutical!X18^2/Pharmaceutical!$R18)/((Pharmaceutical!W18^2/Pharmaceutical!$Q18)/(Pharmaceutical!$Q18-1)+(Pharmaceutical!X18^2/Pharmaceutical!$R18)/(Pharmaceutical!$R18-1))</f>
        <v>332</v>
      </c>
      <c r="AA58" s="23">
        <f t="shared" si="16"/>
        <v>1.967135056719064</v>
      </c>
      <c r="AB58" s="26">
        <f t="shared" si="17"/>
        <v>6.7672986558310752E-52</v>
      </c>
      <c r="AC58" s="54">
        <f>Pharmaceutical!Y18-Pharmaceutical!Z18</f>
        <v>6273.7364699999998</v>
      </c>
      <c r="AD58" s="69">
        <f>Pharmaceutical!AA18-Pharmaceutical!AB18</f>
        <v>18.840049459459458</v>
      </c>
      <c r="AE58" s="49">
        <f>SQRT(Pharmaceutical!AC18^2+Pharmaceutical!AD18^2)</f>
        <v>26.176925482953649</v>
      </c>
      <c r="AF58" s="146">
        <f>(Pharmaceutical!$Q18-1)*Pharmaceutical!$AC18+(Pharmaceutical!$R18-1)*Pharmaceutical!$AD18/(Pharmaceutical!$Q18+Pharmaceutical!$R18-2)</f>
        <v>7739.7959233999991</v>
      </c>
      <c r="AG58" s="37">
        <f>ABS(AD58)/(SQRT((Pharmaceutical!AC18/Pharmaceutical!$Q18)+(Pharmaceutical!AD18/Pharmaceutical!$R18)))</f>
        <v>57.917819906418771</v>
      </c>
      <c r="AH58" s="146">
        <f>(Pharmaceutical!AC18^2/Pharmaceutical!$Q18+Pharmaceutical!AD18^2/Pharmaceutical!$R18)/((Pharmaceutical!AC18^2/Pharmaceutical!$Q18)/(Pharmaceutical!$Q18-1)+(Pharmaceutical!AD18^2/Pharmaceutical!$R18)/(Pharmaceutical!$R18-1))</f>
        <v>331.99999999999994</v>
      </c>
      <c r="AI58" s="23">
        <f t="shared" si="18"/>
        <v>1.9671567996108683</v>
      </c>
      <c r="AJ58" s="26">
        <f t="shared" si="19"/>
        <v>2.7471973089826122E-175</v>
      </c>
      <c r="AK58" s="2">
        <f>Pharmaceutical!AG18-Pharmaceutical!AH18</f>
        <v>336</v>
      </c>
      <c r="AL58" s="37">
        <f>Pharmaceutical!AI18-Pharmaceutical!AJ18</f>
        <v>1.8876404494382022</v>
      </c>
      <c r="AM58" s="37">
        <f>SQRT(Pharmaceutical!AK18^2+Pharmaceutical!AL18^2)</f>
        <v>2.8040380479607157</v>
      </c>
      <c r="AN58" s="146">
        <f>(Pharmaceutical!$AE18-1)*Pharmaceutical!$AK18+(Pharmaceutical!$AF18-1)*Pharmaceutical!$AL18/(Pharmaceutical!$AE18+Pharmaceutical!$AF18-2)</f>
        <v>406.71946428499996</v>
      </c>
      <c r="AO58" s="37">
        <f>ABS(AL58)/(SQRT((Pharmaceutical!AK18/Pharmaceutical!$AE18)+(Pharmaceutical!AL18/Pharmaceutical!$AF18)))</f>
        <v>12.74142843387793</v>
      </c>
      <c r="AP58" s="146">
        <f>(Pharmaceutical!AK18^2/Pharmaceutical!$AE18+Pharmaceutical!AL18^2/Pharmaceutical!$AF18)/((Pharmaceutical!AK18^2/Pharmaceutical!$AE18)/(Pharmaceutical!$AE18-1)+(Pharmaceutical!AL18^2/Pharmaceutical!$AF18)/(Pharmaceutical!$AF18-1))</f>
        <v>177</v>
      </c>
      <c r="AQ58" s="23">
        <f t="shared" si="20"/>
        <v>1.9734572015938039</v>
      </c>
      <c r="AR58" s="26">
        <f t="shared" si="21"/>
        <v>8.2949568029758217E-27</v>
      </c>
      <c r="AS58" s="54">
        <f>Pharmaceutical!AM18-Pharmaceutical!AN18</f>
        <v>4480.9868299999998</v>
      </c>
      <c r="AT58" s="69">
        <f>Pharmaceutical!AO18-Pharmaceutical!AP18</f>
        <v>25.174083314606744</v>
      </c>
      <c r="AU58" s="49">
        <f>SQRT(Pharmaceutical!AQ18^2+Pharmaceutical!AR18^2)</f>
        <v>62.546535862192499</v>
      </c>
      <c r="AV58" s="146">
        <f>(Pharmaceutical!$AE18-1)*Pharmaceutical!$AQ18+(Pharmaceutical!$AF18-1)*Pharmaceutical!$AR18/(Pharmaceutical!$AE18+Pharmaceutical!$AF18-2)</f>
        <v>10730.424920450001</v>
      </c>
      <c r="AW58" s="37">
        <f>ABS(AT58)/(SQRT((Pharmaceutical!AQ18/Pharmaceutical!$AE18)+(Pharmaceutical!AR18/Pharmaceutical!$AF18)))</f>
        <v>38.490606117819475</v>
      </c>
      <c r="AX58" s="146">
        <f>(Pharmaceutical!AQ18^2/Pharmaceutical!$AE18+Pharmaceutical!AR18^2/Pharmaceutical!$AF18)/((Pharmaceutical!AQ18^2/Pharmaceutical!$AE18)/(Pharmaceutical!$AE18-1)+(Pharmaceutical!AR18^2/Pharmaceutical!$AF18)/(Pharmaceutical!$AF18-1))</f>
        <v>177</v>
      </c>
      <c r="AY58" s="23">
        <f t="shared" si="22"/>
        <v>1.9734572015938039</v>
      </c>
      <c r="AZ58" s="186">
        <f t="shared" si="23"/>
        <v>6.3350705025488973E-88</v>
      </c>
    </row>
    <row r="59" spans="1:52" x14ac:dyDescent="0.25">
      <c r="A59" s="261"/>
      <c r="B59" s="5" t="s">
        <v>4</v>
      </c>
      <c r="C59" s="192">
        <f>Pharmaceutical!C19/IncidenceComplications!$G16</f>
        <v>0.48760470428970304</v>
      </c>
      <c r="D59" s="192">
        <f>Pharmaceutical!D19/IncidenceComplications!$G16</f>
        <v>0.26118960995008039</v>
      </c>
      <c r="E59" s="3">
        <f>Pharmaceutical!E19-Pharmaceutical!F19</f>
        <v>5434</v>
      </c>
      <c r="F59" s="37">
        <f>Pharmaceutical!G19-Pharmaceutical!H19</f>
        <v>0.45976816989593033</v>
      </c>
      <c r="G59" s="37">
        <f>SQRT(Pharmaceutical!I19^2+Pharmaceutical!J19^2)</f>
        <v>1.4890944781184132</v>
      </c>
      <c r="H59" s="146">
        <f>(Pharmaceutical!$C19-1)*Pharmaceutical!$I19+(Pharmaceutical!$D19-1)*Pharmaceutical!$J19/(Pharmaceutical!$C19+Pharmaceutical!$D19-2)</f>
        <v>7039.5971797452985</v>
      </c>
      <c r="I59" s="37">
        <f>ABS(F59)/(SQRT((Pharmaceutical!I19/Pharmaceutical!$C19)+(Pharmaceutical!J19/Pharmaceutical!$D19)))</f>
        <v>20.817141292594737</v>
      </c>
      <c r="J59" s="146">
        <f>(Pharmaceutical!I19^2/Pharmaceutical!$C19+Pharmaceutical!J19^2/Pharmaceutical!$D19)/((Pharmaceutical!I19^2/Pharmaceutical!$C19)/(Pharmaceutical!$C19-1)+(Pharmaceutical!J19^2/Pharmaceutical!$D19)/(Pharmaceutical!$D19-1))</f>
        <v>4079.6826402044294</v>
      </c>
      <c r="K59" s="23">
        <f t="shared" si="12"/>
        <v>1.9605457357885552</v>
      </c>
      <c r="L59" s="26">
        <f t="shared" si="13"/>
        <v>1.4913340245622345E-91</v>
      </c>
      <c r="M59" s="54">
        <f>Pharmaceutical!K19-Pharmaceutical!L19</f>
        <v>62354.273400000005</v>
      </c>
      <c r="N59" s="69">
        <f>Pharmaceutical!M19-Pharmaceutical!N19</f>
        <v>5.2757655808444044</v>
      </c>
      <c r="O59" s="49">
        <f>SQRT(Pharmaceutical!O19^2+Pharmaceutical!P19^2)</f>
        <v>26.490154604253505</v>
      </c>
      <c r="P59" s="146">
        <f>(Pharmaceutical!$C19-1)*Pharmaceutical!$O19+(Pharmaceutical!$D19-1)*Pharmaceutical!$P19/(Pharmaceutical!$C19+Pharmaceutical!$D19-2)</f>
        <v>137200.54895369557</v>
      </c>
      <c r="Q59" s="37">
        <f>ABS(N59)/(SQRT((Pharmaceutical!O19/Pharmaceutical!$C19)+(Pharmaceutical!P19/Pharmaceutical!$D19)))</f>
        <v>59.385336923712856</v>
      </c>
      <c r="R59" s="146">
        <f>(Pharmaceutical!O19^2/Pharmaceutical!$C19+Pharmaceutical!P19^2/Pharmaceutical!$D19)/((Pharmaceutical!O19^2/Pharmaceutical!$C19)/(Pharmaceutical!$C19-1)+(Pharmaceutical!P19^2/Pharmaceutical!$D19)/(Pharmaceutical!$D19-1))</f>
        <v>4549.3433639772838</v>
      </c>
      <c r="S59" s="23">
        <f t="shared" si="14"/>
        <v>1.9604856138693523</v>
      </c>
      <c r="T59" s="26">
        <f t="shared" si="15"/>
        <v>0</v>
      </c>
      <c r="U59" s="2">
        <f>Pharmaceutical!S19-Pharmaceutical!T19</f>
        <v>525</v>
      </c>
      <c r="V59" s="37">
        <f>Pharmaceutical!U19-Pharmaceutical!V19</f>
        <v>1.2836185819070904</v>
      </c>
      <c r="W59" s="37">
        <f>SQRT(Pharmaceutical!W19^2+Pharmaceutical!X19^2)</f>
        <v>1.8234230863839016</v>
      </c>
      <c r="X59" s="146">
        <f>(Pharmaceutical!$Q19-1)*Pharmaceutical!$W19+(Pharmaceutical!$R19-1)*Pharmaceutical!$X19/(Pharmaceutical!$Q19+Pharmaceutical!$R19-2)</f>
        <v>656.97996838999995</v>
      </c>
      <c r="Y59" s="37">
        <f>ABS(V59)/(SQRT((Pharmaceutical!W19/Pharmaceutical!$Q19)+(Pharmaceutical!X19/Pharmaceutical!$R19)))</f>
        <v>16.52863279486386</v>
      </c>
      <c r="Z59" s="146">
        <f>(Pharmaceutical!W19^2/Pharmaceutical!$Q19+Pharmaceutical!X19^2/Pharmaceutical!$R19)/((Pharmaceutical!W19^2/Pharmaceutical!$Q19)/(Pharmaceutical!$Q19-1)+(Pharmaceutical!X19^2/Pharmaceutical!$R19)/(Pharmaceutical!$R19-1))</f>
        <v>408</v>
      </c>
      <c r="AA59" s="23">
        <f t="shared" si="16"/>
        <v>1.9657953681093305</v>
      </c>
      <c r="AB59" s="26">
        <f t="shared" si="17"/>
        <v>2.4009375985208872E-47</v>
      </c>
      <c r="AC59" s="54">
        <f>Pharmaceutical!Y19-Pharmaceutical!Z19</f>
        <v>5924.6846500000001</v>
      </c>
      <c r="AD59" s="69">
        <f>Pharmaceutical!AA19-Pharmaceutical!AB19</f>
        <v>14.485781540342298</v>
      </c>
      <c r="AE59" s="49">
        <f>SQRT(Pharmaceutical!AC19^2+Pharmaceutical!AD19^2)</f>
        <v>25.541221762575347</v>
      </c>
      <c r="AF59" s="146">
        <f>(Pharmaceutical!$Q19-1)*Pharmaceutical!$AC19+(Pharmaceutical!$R19-1)*Pharmaceutical!$AD19/(Pharmaceutical!$Q19+Pharmaceutical!$R19-2)</f>
        <v>8672.7894462000004</v>
      </c>
      <c r="AG59" s="37">
        <f>ABS(AD59)/(SQRT((Pharmaceutical!AC19/Pharmaceutical!$Q19)+(Pharmaceutical!AD19/Pharmaceutical!$R19)))</f>
        <v>49.220555877297308</v>
      </c>
      <c r="AH59" s="146">
        <f>(Pharmaceutical!AC19^2/Pharmaceutical!$Q19+Pharmaceutical!AD19^2/Pharmaceutical!$R19)/((Pharmaceutical!AC19^2/Pharmaceutical!$Q19)/(Pharmaceutical!$Q19-1)+(Pharmaceutical!AD19^2/Pharmaceutical!$R19)/(Pharmaceutical!$R19-1))</f>
        <v>408</v>
      </c>
      <c r="AI59" s="23">
        <f t="shared" si="18"/>
        <v>1.9657953681093305</v>
      </c>
      <c r="AJ59" s="26">
        <f t="shared" si="19"/>
        <v>1.0457946402295434E-173</v>
      </c>
      <c r="AK59" s="2">
        <f>Pharmaceutical!AG19-Pharmaceutical!AH19</f>
        <v>363</v>
      </c>
      <c r="AL59" s="37">
        <f>Pharmaceutical!AI19-Pharmaceutical!AJ19</f>
        <v>1.2648083623693378</v>
      </c>
      <c r="AM59" s="37">
        <f>SQRT(Pharmaceutical!AK19^2+Pharmaceutical!AL19^2)</f>
        <v>2.2767620900623897</v>
      </c>
      <c r="AN59" s="146">
        <f>(Pharmaceutical!$AE19-1)*Pharmaceutical!$AK19+(Pharmaceutical!$AF19-1)*Pharmaceutical!$AL19/(Pharmaceutical!$AE19+Pharmaceutical!$AF19-2)</f>
        <v>608.49844872999995</v>
      </c>
      <c r="AO59" s="37">
        <f>ABS(AL59)/(SQRT((Pharmaceutical!AK19/Pharmaceutical!$AE19)+(Pharmaceutical!AL19/Pharmaceutical!$AF19)))</f>
        <v>12.495735042984593</v>
      </c>
      <c r="AP59" s="146">
        <f>(Pharmaceutical!AK19^2/Pharmaceutical!$AE19+Pharmaceutical!AL19^2/Pharmaceutical!$AF19)/((Pharmaceutical!AK19^2/Pharmaceutical!$AE19)/(Pharmaceutical!$AE19-1)+(Pharmaceutical!AL19^2/Pharmaceutical!$AF19)/(Pharmaceutical!$AF19-1))</f>
        <v>286</v>
      </c>
      <c r="AQ59" s="23">
        <f t="shared" si="20"/>
        <v>1.9682932552437933</v>
      </c>
      <c r="AR59" s="26">
        <f t="shared" si="21"/>
        <v>6.9421015320355018E-29</v>
      </c>
      <c r="AS59" s="54">
        <f>Pharmaceutical!AM19-Pharmaceutical!AN19</f>
        <v>4680.1060699999998</v>
      </c>
      <c r="AT59" s="69">
        <f>Pharmaceutical!AO19-Pharmaceutical!AP19</f>
        <v>16.306989790940769</v>
      </c>
      <c r="AU59" s="49">
        <f>SQRT(Pharmaceutical!AQ19^2+Pharmaceutical!AR19^2)</f>
        <v>46.161062326357431</v>
      </c>
      <c r="AV59" s="146">
        <f>(Pharmaceutical!$AE19-1)*Pharmaceutical!$AQ19+(Pharmaceutical!$AF19-1)*Pharmaceutical!$AR19/(Pharmaceutical!$AE19+Pharmaceutical!$AF19-2)</f>
        <v>9574.8801953000002</v>
      </c>
      <c r="AW59" s="37">
        <f>ABS(AT59)/(SQRT((Pharmaceutical!AQ19/Pharmaceutical!$AE19)+(Pharmaceutical!AR19/Pharmaceutical!$AF19)))</f>
        <v>34.19662539262297</v>
      </c>
      <c r="AX59" s="146">
        <f>(Pharmaceutical!AQ19^2/Pharmaceutical!$AE19+Pharmaceutical!AR19^2/Pharmaceutical!$AF19)/((Pharmaceutical!AQ19^2/Pharmaceutical!$AE19)/(Pharmaceutical!$AE19-1)+(Pharmaceutical!AR19^2/Pharmaceutical!$AF19)/(Pharmaceutical!$AF19-1))</f>
        <v>286</v>
      </c>
      <c r="AY59" s="23">
        <f t="shared" si="22"/>
        <v>1.9682932552437933</v>
      </c>
      <c r="AZ59" s="186">
        <f t="shared" si="23"/>
        <v>4.7205256805242584E-103</v>
      </c>
    </row>
    <row r="60" spans="1:52" x14ac:dyDescent="0.25">
      <c r="A60" s="261"/>
      <c r="B60" s="5" t="s">
        <v>5</v>
      </c>
      <c r="C60" s="192">
        <f>Pharmaceutical!C20/IncidenceComplications!$G17</f>
        <v>0.56500071876946667</v>
      </c>
      <c r="D60" s="192">
        <f>Pharmaceutical!D20/IncidenceComplications!$G17</f>
        <v>0.31563563179836118</v>
      </c>
      <c r="E60" s="3">
        <f>Pharmaceutical!E20-Pharmaceutical!F20</f>
        <v>11244</v>
      </c>
      <c r="F60" s="37">
        <f>Pharmaceutical!G20-Pharmaceutical!H20</f>
        <v>0.53878959221812261</v>
      </c>
      <c r="G60" s="37">
        <f>SQRT(Pharmaceutical!I20^2+Pharmaceutical!J20^2)</f>
        <v>1.8137357653053252</v>
      </c>
      <c r="H60" s="146">
        <f>(Pharmaceutical!$C20-1)*Pharmaceutical!$I20+(Pharmaceutical!$D20-1)*Pharmaceutical!$J20/(Pharmaceutical!$C20+Pharmaceutical!$D20-2)</f>
        <v>16931.871385827577</v>
      </c>
      <c r="I60" s="37">
        <f>ABS(F60)/(SQRT((Pharmaceutical!I20/Pharmaceutical!$C20)+(Pharmaceutical!J20/Pharmaceutical!$D20)))</f>
        <v>31.639921986238139</v>
      </c>
      <c r="J60" s="146">
        <f>(Pharmaceutical!I20^2/Pharmaceutical!$C20+Pharmaceutical!J20^2/Pharmaceutical!$D20)/((Pharmaceutical!I20^2/Pharmaceutical!$C20)/(Pharmaceutical!$C20-1)+(Pharmaceutical!J20^2/Pharmaceutical!$D20)/(Pharmaceutical!$D20-1))</f>
        <v>8376.1902815013764</v>
      </c>
      <c r="K60" s="23">
        <f t="shared" si="12"/>
        <v>1.9602472472237</v>
      </c>
      <c r="L60" s="26">
        <f t="shared" si="13"/>
        <v>1.2112701256887827E-207</v>
      </c>
      <c r="M60" s="54">
        <f>Pharmaceutical!K20-Pharmaceutical!L20</f>
        <v>128783.71599999999</v>
      </c>
      <c r="N60" s="69">
        <f>Pharmaceutical!M20-Pharmaceutical!N20</f>
        <v>6.1710535243662852</v>
      </c>
      <c r="O60" s="49">
        <f>SQRT(Pharmaceutical!O20^2+Pharmaceutical!P20^2)</f>
        <v>35.073700161423481</v>
      </c>
      <c r="P60" s="146">
        <f>(Pharmaceutical!$C20-1)*Pharmaceutical!$O20+(Pharmaceutical!$D20-1)*Pharmaceutical!$P20/(Pharmaceutical!$C20+Pharmaceutical!$D20-2)</f>
        <v>302846.65059950534</v>
      </c>
      <c r="Q60" s="37">
        <f>ABS(N60)/(SQRT((Pharmaceutical!O20/Pharmaceutical!$C20)+(Pharmaceutical!P20/Pharmaceutical!$D20)))</f>
        <v>81.000538058045535</v>
      </c>
      <c r="R60" s="146">
        <f>(Pharmaceutical!O20^2/Pharmaceutical!$C20+Pharmaceutical!P20^2/Pharmaceutical!$D20)/((Pharmaceutical!O20^2/Pharmaceutical!$C20)/(Pharmaceutical!$C20-1)+(Pharmaceutical!P20^2/Pharmaceutical!$D20)/(Pharmaceutical!$D20-1))</f>
        <v>7966.2400460904482</v>
      </c>
      <c r="S60" s="23">
        <f t="shared" si="14"/>
        <v>1.960261828575611</v>
      </c>
      <c r="T60" s="26">
        <f t="shared" si="15"/>
        <v>0</v>
      </c>
      <c r="U60" s="2">
        <f>Pharmaceutical!S20-Pharmaceutical!T20</f>
        <v>713</v>
      </c>
      <c r="V60" s="37">
        <f>Pharmaceutical!U20-Pharmaceutical!V20</f>
        <v>1.1883333333333335</v>
      </c>
      <c r="W60" s="37">
        <f>SQRT(Pharmaceutical!W20^2+Pharmaceutical!X20^2)</f>
        <v>2.0881725616608398</v>
      </c>
      <c r="X60" s="146">
        <f>(Pharmaceutical!$Q20-1)*Pharmaceutical!$W20+(Pharmaceutical!$R20-1)*Pharmaceutical!$X20/(Pharmaceutical!$Q20+Pharmaceutical!$R20-2)</f>
        <v>1042.6729583000001</v>
      </c>
      <c r="Y60" s="37">
        <f>ABS(V60)/(SQRT((Pharmaceutical!W20/Pharmaceutical!$Q20)+(Pharmaceutical!X20/Pharmaceutical!$R20)))</f>
        <v>17.108694429030521</v>
      </c>
      <c r="Z60" s="146">
        <f>(Pharmaceutical!W20^2/Pharmaceutical!$Q20+Pharmaceutical!X20^2/Pharmaceutical!$R20)/((Pharmaceutical!W20^2/Pharmaceutical!$Q20)/(Pharmaceutical!$Q20-1)+(Pharmaceutical!X20^2/Pharmaceutical!$R20)/(Pharmaceutical!$R20-1))</f>
        <v>599</v>
      </c>
      <c r="AA60" s="23">
        <f t="shared" si="16"/>
        <v>1.9639322489452855</v>
      </c>
      <c r="AB60" s="26">
        <f t="shared" si="17"/>
        <v>1.0027735858340323E-53</v>
      </c>
      <c r="AC60" s="54">
        <f>Pharmaceutical!Y20-Pharmaceutical!Z20</f>
        <v>8225.6344399999998</v>
      </c>
      <c r="AD60" s="69">
        <f>Pharmaceutical!AA20-Pharmaceutical!AB20</f>
        <v>13.709390733333333</v>
      </c>
      <c r="AE60" s="49">
        <f>SQRT(Pharmaceutical!AC20^2+Pharmaceutical!AD20^2)</f>
        <v>35.263444701134461</v>
      </c>
      <c r="AF60" s="146">
        <f>(Pharmaceutical!$Q20-1)*Pharmaceutical!$AC20+(Pharmaceutical!$R20-1)*Pharmaceutical!$AD20/(Pharmaceutical!$Q20+Pharmaceutical!$R20-2)</f>
        <v>14286.95874005</v>
      </c>
      <c r="AG60" s="37">
        <f>ABS(AD60)/(SQRT((Pharmaceutical!AC20/Pharmaceutical!$Q20)+(Pharmaceutical!AD20/Pharmaceutical!$R20)))</f>
        <v>47.574967517794811</v>
      </c>
      <c r="AH60" s="146">
        <f>(Pharmaceutical!AC20^2/Pharmaceutical!$Q20+Pharmaceutical!AD20^2/Pharmaceutical!$R20)/((Pharmaceutical!AC20^2/Pharmaceutical!$Q20)/(Pharmaceutical!$Q20-1)+(Pharmaceutical!AD20^2/Pharmaceutical!$R20)/(Pharmaceutical!$R20-1))</f>
        <v>599</v>
      </c>
      <c r="AI60" s="23">
        <f t="shared" si="18"/>
        <v>1.9639322489452855</v>
      </c>
      <c r="AJ60" s="26">
        <f t="shared" si="19"/>
        <v>1.2985590164530767E-205</v>
      </c>
      <c r="AK60" s="2">
        <f>Pharmaceutical!AG20-Pharmaceutical!AH20</f>
        <v>1212</v>
      </c>
      <c r="AL60" s="37">
        <f>Pharmaceutical!AI20-Pharmaceutical!AJ20</f>
        <v>1.3664036076662911</v>
      </c>
      <c r="AM60" s="37">
        <f>SQRT(Pharmaceutical!AK20^2+Pharmaceutical!AL20^2)</f>
        <v>2.3138892946101879</v>
      </c>
      <c r="AN60" s="146">
        <f>(Pharmaceutical!$AE20-1)*Pharmaceutical!$AK20+(Pharmaceutical!$AF20-1)*Pharmaceutical!$AL20/(Pharmaceutical!$AE20+Pharmaceutical!$AF20-2)</f>
        <v>1825.5964569749999</v>
      </c>
      <c r="AO60" s="37">
        <f>ABS(AL60)/(SQRT((Pharmaceutical!AK20/Pharmaceutical!$AE20)+(Pharmaceutical!AL20/Pharmaceutical!$AF20)))</f>
        <v>23.061577233820845</v>
      </c>
      <c r="AP60" s="146">
        <f>(Pharmaceutical!AK20^2/Pharmaceutical!$AE20+Pharmaceutical!AL20^2/Pharmaceutical!$AF20)/((Pharmaceutical!AK20^2/Pharmaceutical!$AE20)/(Pharmaceutical!$AE20-1)+(Pharmaceutical!AL20^2/Pharmaceutical!$AF20)/(Pharmaceutical!$AF20-1))</f>
        <v>886</v>
      </c>
      <c r="AQ60" s="23">
        <f t="shared" si="20"/>
        <v>1.9626450908073165</v>
      </c>
      <c r="AR60" s="26">
        <f t="shared" si="21"/>
        <v>1.524011019427855E-92</v>
      </c>
      <c r="AS60" s="54">
        <f>Pharmaceutical!AM20-Pharmaceutical!AN20</f>
        <v>16941.253140000001</v>
      </c>
      <c r="AT60" s="69">
        <f>Pharmaceutical!AO20-Pharmaceutical!AP20</f>
        <v>19.099496211950395</v>
      </c>
      <c r="AU60" s="49">
        <f>SQRT(Pharmaceutical!AQ20^2+Pharmaceutical!AR20^2)</f>
        <v>40.172011376473229</v>
      </c>
      <c r="AV60" s="146">
        <f>(Pharmaceutical!$AE20-1)*Pharmaceutical!$AQ20+(Pharmaceutical!$AF20-1)*Pharmaceutical!$AR20/(Pharmaceutical!$AE20+Pharmaceutical!$AF20-2)</f>
        <v>30580.423167950004</v>
      </c>
      <c r="AW60" s="37">
        <f>ABS(AT60)/(SQRT((Pharmaceutical!AQ20/Pharmaceutical!$AE20)+(Pharmaceutical!AR20/Pharmaceutical!$AF20)))</f>
        <v>76.647113982222834</v>
      </c>
      <c r="AX60" s="146">
        <f>(Pharmaceutical!AQ20^2/Pharmaceutical!$AE20+Pharmaceutical!AR20^2/Pharmaceutical!$AF20)/((Pharmaceutical!AQ20^2/Pharmaceutical!$AE20)/(Pharmaceutical!$AE20-1)+(Pharmaceutical!AR20^2/Pharmaceutical!$AF20)/(Pharmaceutical!$AF20-1))</f>
        <v>886</v>
      </c>
      <c r="AY60" s="23">
        <f t="shared" si="22"/>
        <v>1.9626450908073165</v>
      </c>
      <c r="AZ60" s="186">
        <f t="shared" si="23"/>
        <v>0</v>
      </c>
    </row>
    <row r="61" spans="1:52" x14ac:dyDescent="0.25">
      <c r="A61" s="261"/>
      <c r="B61" s="6" t="s">
        <v>6</v>
      </c>
      <c r="C61" s="195">
        <f>Pharmaceutical!C21/IncidenceComplications!$G18</f>
        <v>0.62750176595243701</v>
      </c>
      <c r="D61" s="196">
        <f>Pharmaceutical!D21/IncidenceComplications!$G18</f>
        <v>0.3513068048033906</v>
      </c>
      <c r="E61" s="10">
        <f>Pharmaceutical!E21-Pharmaceutical!F21</f>
        <v>2990</v>
      </c>
      <c r="F61" s="39">
        <f>Pharmaceutical!G21-Pharmaceutical!H21</f>
        <v>0.70402637155639269</v>
      </c>
      <c r="G61" s="39">
        <f>SQRT(Pharmaceutical!I21^2+Pharmaceutical!J21^2)</f>
        <v>2.2526300752037023</v>
      </c>
      <c r="H61" s="182">
        <f>(Pharmaceutical!$C21-1)*Pharmaceutical!$I21+(Pharmaceutical!$D21-1)*Pharmaceutical!$J21/(Pharmaceutical!$C21+Pharmaceutical!$D21-2)</f>
        <v>4744.9033895358552</v>
      </c>
      <c r="I61" s="39">
        <f>ABS(F61)/(SQRT((Pharmaceutical!I21/Pharmaceutical!$C21)+(Pharmaceutical!J21/Pharmaceutical!$D21)))</f>
        <v>17.640574334694904</v>
      </c>
      <c r="J61" s="182">
        <f>(Pharmaceutical!I21^2/Pharmaceutical!$C21+Pharmaceutical!J21^2/Pharmaceutical!$D21)/((Pharmaceutical!I21^2/Pharmaceutical!$C21)/(Pharmaceutical!$C21-1)+(Pharmaceutical!J21^2/Pharmaceutical!$D21)/(Pharmaceutical!$D21-1))</f>
        <v>1893.4795061494563</v>
      </c>
      <c r="K61" s="24">
        <f t="shared" si="12"/>
        <v>1.9612179533528464</v>
      </c>
      <c r="L61" s="27">
        <f t="shared" si="13"/>
        <v>1.3332542941035698E-64</v>
      </c>
      <c r="M61" s="55">
        <f>Pharmaceutical!K21-Pharmaceutical!L21</f>
        <v>36596.067300000002</v>
      </c>
      <c r="N61" s="75">
        <f>Pharmaceutical!M21-Pharmaceutical!N21</f>
        <v>8.6169218978102187</v>
      </c>
      <c r="O61" s="50">
        <f>SQRT(Pharmaceutical!O21^2+Pharmaceutical!P21^2)</f>
        <v>42.305751346608787</v>
      </c>
      <c r="P61" s="182">
        <f>(Pharmaceutical!$C21-1)*Pharmaceutical!$O21+(Pharmaceutical!$D21-1)*Pharmaceutical!$P21/(Pharmaceutical!$C21+Pharmaceutical!$D21-2)</f>
        <v>82670.288320487438</v>
      </c>
      <c r="Q61" s="39">
        <f>ABS(N61)/(SQRT((Pharmaceutical!O21/Pharmaceutical!$C21)+(Pharmaceutical!P21/Pharmaceutical!$D21)))</f>
        <v>49.006004047354892</v>
      </c>
      <c r="R61" s="182">
        <f>(Pharmaceutical!O21^2/Pharmaceutical!$C21+Pharmaceutical!P21^2/Pharmaceutical!$D21)/((Pharmaceutical!O21^2/Pharmaceutical!$C21)/(Pharmaceutical!$C21-1)+(Pharmaceutical!P21^2/Pharmaceutical!$D21)/(Pharmaceutical!$D21-1))</f>
        <v>1804.5189498609554</v>
      </c>
      <c r="S61" s="24">
        <f t="shared" si="14"/>
        <v>1.9612798584834095</v>
      </c>
      <c r="T61" s="27">
        <f t="shared" si="15"/>
        <v>0</v>
      </c>
      <c r="U61" s="8">
        <f>Pharmaceutical!S21-Pharmaceutical!T21</f>
        <v>152</v>
      </c>
      <c r="V61" s="39">
        <f>Pharmaceutical!U21-Pharmaceutical!V21</f>
        <v>1.1875</v>
      </c>
      <c r="W61" s="39">
        <f>SQRT(Pharmaceutical!W21^2+Pharmaceutical!X21^2)</f>
        <v>2.3186168808456329</v>
      </c>
      <c r="X61" s="182">
        <f>(Pharmaceutical!$Q21-1)*Pharmaceutical!$W21+(Pharmaceutical!$R21-1)*Pharmaceutical!$X21/(Pharmaceutical!$Q21+Pharmaceutical!$R21-2)</f>
        <v>242.592945875</v>
      </c>
      <c r="Y61" s="39">
        <f>ABS(V61)/(SQRT((Pharmaceutical!W21/Pharmaceutical!$Q21)+(Pharmaceutical!X21/Pharmaceutical!$R21)))</f>
        <v>7.4792298925322793</v>
      </c>
      <c r="Z61" s="182">
        <f>(Pharmaceutical!W21^2/Pharmaceutical!$Q21+Pharmaceutical!X21^2/Pharmaceutical!$R21)/((Pharmaceutical!W21^2/Pharmaceutical!$Q21)/(Pharmaceutical!$Q21-1)+(Pharmaceutical!X21^2/Pharmaceutical!$R21)/(Pharmaceutical!$R21-1))</f>
        <v>127</v>
      </c>
      <c r="AA61" s="24">
        <f t="shared" si="16"/>
        <v>1.9788195347028543</v>
      </c>
      <c r="AB61" s="27">
        <f t="shared" si="17"/>
        <v>1.0820458988081222E-11</v>
      </c>
      <c r="AC61" s="55">
        <f>Pharmaceutical!Y21-Pharmaceutical!Z21</f>
        <v>1953.2411099999999</v>
      </c>
      <c r="AD61" s="75">
        <f>Pharmaceutical!AA21-Pharmaceutical!AB21</f>
        <v>15.259696171874999</v>
      </c>
      <c r="AE61" s="50">
        <f>SQRT(Pharmaceutical!AC21^2+Pharmaceutical!AD21^2)</f>
        <v>39.495176252971376</v>
      </c>
      <c r="AF61" s="182">
        <f>(Pharmaceutical!$Q21-1)*Pharmaceutical!$AC21+(Pharmaceutical!$R21-1)*Pharmaceutical!$AD21/(Pharmaceutical!$Q21+Pharmaceutical!$R21-2)</f>
        <v>4274.1721822499994</v>
      </c>
      <c r="AG61" s="39">
        <f>ABS(AD61)/(SQRT((Pharmaceutical!AC21/Pharmaceutical!$Q21)+(Pharmaceutical!AD21/Pharmaceutical!$R21)))</f>
        <v>23.412689009276047</v>
      </c>
      <c r="AH61" s="182">
        <f>(Pharmaceutical!AC21^2/Pharmaceutical!$Q21+Pharmaceutical!AD21^2/Pharmaceutical!$R21)/((Pharmaceutical!AC21^2/Pharmaceutical!$Q21)/(Pharmaceutical!$Q21-1)+(Pharmaceutical!AD21^2/Pharmaceutical!$R21)/(Pharmaceutical!$R21-1))</f>
        <v>127</v>
      </c>
      <c r="AI61" s="24">
        <f t="shared" si="18"/>
        <v>1.9788195347028543</v>
      </c>
      <c r="AJ61" s="27">
        <f t="shared" si="19"/>
        <v>6.5782774350830264E-48</v>
      </c>
      <c r="AK61" s="8">
        <f>Pharmaceutical!AG21-Pharmaceutical!AH21</f>
        <v>502</v>
      </c>
      <c r="AL61" s="39">
        <f>Pharmaceutical!AI21-Pharmaceutical!AJ21</f>
        <v>1.3829201101928374</v>
      </c>
      <c r="AM61" s="39">
        <f>SQRT(Pharmaceutical!AK21^2+Pharmaceutical!AL21^2)</f>
        <v>2.6794115000920367</v>
      </c>
      <c r="AN61" s="182">
        <f>(Pharmaceutical!$AE21-1)*Pharmaceutical!$AK21+(Pharmaceutical!$AF21-1)*Pharmaceutical!$AL21/(Pharmaceutical!$AE21+Pharmaceutical!$AF21-2)</f>
        <v>824.54755934000013</v>
      </c>
      <c r="AO61" s="39">
        <f>ABS(AL61)/(SQRT((Pharmaceutical!AK21/Pharmaceutical!$AE21)+(Pharmaceutical!AL21/Pharmaceutical!$AF21)))</f>
        <v>13.71629816701037</v>
      </c>
      <c r="AP61" s="182">
        <f>(Pharmaceutical!AK21^2/Pharmaceutical!$AE21+Pharmaceutical!AL21^2/Pharmaceutical!$AF21)/((Pharmaceutical!AK21^2/Pharmaceutical!$AE21)/(Pharmaceutical!$AE21-1)+(Pharmaceutical!AL21^2/Pharmaceutical!$AF21)/(Pharmaceutical!$AF21-1))</f>
        <v>362</v>
      </c>
      <c r="AQ61" s="24">
        <f t="shared" si="20"/>
        <v>1.9665388125099446</v>
      </c>
      <c r="AR61" s="27">
        <f t="shared" si="21"/>
        <v>8.9963849843753435E-35</v>
      </c>
      <c r="AS61" s="55">
        <f>Pharmaceutical!AM21-Pharmaceutical!AN21</f>
        <v>7267.8816900000002</v>
      </c>
      <c r="AT61" s="75">
        <f>Pharmaceutical!AO21-Pharmaceutical!AP21</f>
        <v>20.021712644628103</v>
      </c>
      <c r="AU61" s="50">
        <f>SQRT(Pharmaceutical!AQ21^2+Pharmaceutical!AR21^2)</f>
        <v>43.276264583320689</v>
      </c>
      <c r="AV61" s="182">
        <f>(Pharmaceutical!$AE21-1)*Pharmaceutical!$AQ21+(Pharmaceutical!$AF21-1)*Pharmaceutical!$AR21/(Pharmaceutical!$AE21+Pharmaceutical!$AF21-2)</f>
        <v>13996.358922349998</v>
      </c>
      <c r="AW61" s="39">
        <f>ABS(AT61)/(SQRT((Pharmaceutical!AQ21/Pharmaceutical!$AE21)+(Pharmaceutical!AR21/Pharmaceutical!$AF21)))</f>
        <v>50.032326690859151</v>
      </c>
      <c r="AX61" s="182">
        <f>(Pharmaceutical!AQ21^2/Pharmaceutical!$AE21+Pharmaceutical!AR21^2/Pharmaceutical!$AF21)/((Pharmaceutical!AQ21^2/Pharmaceutical!$AE21)/(Pharmaceutical!$AE21-1)+(Pharmaceutical!AR21^2/Pharmaceutical!$AF21)/(Pharmaceutical!$AF21-1))</f>
        <v>362</v>
      </c>
      <c r="AY61" s="24">
        <f t="shared" si="22"/>
        <v>1.9665388125099446</v>
      </c>
      <c r="AZ61" s="187">
        <f t="shared" si="23"/>
        <v>1.0757826483137412E-164</v>
      </c>
    </row>
    <row r="62" spans="1:52" ht="15.75" thickBot="1" x14ac:dyDescent="0.3">
      <c r="A62" s="262"/>
      <c r="B62" s="15" t="s">
        <v>14</v>
      </c>
      <c r="C62" s="193">
        <f>Pharmaceutical!C22/IncidenceComplications!$G19</f>
        <v>0.60173000450949043</v>
      </c>
      <c r="D62" s="194">
        <f>Pharmaceutical!D22/IncidenceComplications!$G19</f>
        <v>0.3452834829664248</v>
      </c>
      <c r="E62" s="16">
        <f>Pharmaceutical!E22-Pharmaceutical!F22</f>
        <v>33791</v>
      </c>
      <c r="F62" s="40">
        <f>Pharmaceutical!G22-Pharmaceutical!H22</f>
        <v>0.69263723199278471</v>
      </c>
      <c r="G62" s="40">
        <f>SQRT(Pharmaceutical!I22^2+Pharmaceutical!J22^2)</f>
        <v>2.9767903880977129</v>
      </c>
      <c r="H62" s="183">
        <f>(Pharmaceutical!$C22-1)*Pharmaceutical!$I22+(Pharmaceutical!$D22-1)*Pharmaceutical!$J22/(Pharmaceutical!$C22+Pharmaceutical!$D22-2)</f>
        <v>67375.753196062811</v>
      </c>
      <c r="I62" s="40">
        <f>ABS(F62)/(SQRT((Pharmaceutical!I22/Pharmaceutical!$C22)+(Pharmaceutical!J22/Pharmaceutical!$D22)))</f>
        <v>50.154478369766927</v>
      </c>
      <c r="J62" s="183">
        <f>(Pharmaceutical!I22^2/Pharmaceutical!$C22+Pharmaceutical!J22^2/Pharmaceutical!$D22)/((Pharmaceutical!I22^2/Pharmaceutical!$C22)/(Pharmaceutical!$C22-1)+(Pharmaceutical!J22^2/Pharmaceutical!$D22)/(Pharmaceutical!$D22-1))</f>
        <v>20916.926778769121</v>
      </c>
      <c r="K62" s="25">
        <f t="shared" si="12"/>
        <v>1.9600774099644638</v>
      </c>
      <c r="L62" s="28">
        <f t="shared" si="13"/>
        <v>0</v>
      </c>
      <c r="M62" s="74">
        <f>Pharmaceutical!K22-Pharmaceutical!L22</f>
        <v>323608.97079999989</v>
      </c>
      <c r="N62" s="77">
        <f>Pharmaceutical!M22-Pharmaceutical!N22</f>
        <v>6.6332343459189094</v>
      </c>
      <c r="O62" s="57">
        <f>SQRT(Pharmaceutical!O22^2+Pharmaceutical!P22^2)</f>
        <v>55.923959671814529</v>
      </c>
      <c r="P62" s="183">
        <f>(Pharmaceutical!$C22-1)*Pharmaceutical!$O22+(Pharmaceutical!$D22-1)*Pharmaceutical!$P22/(Pharmaceutical!$C22+Pharmaceutical!$D22-2)</f>
        <v>1162840.7377525079</v>
      </c>
      <c r="Q62" s="40">
        <f>ABS(N62)/(SQRT((Pharmaceutical!O22/Pharmaceutical!$C22)+(Pharmaceutical!P22/Pharmaceutical!$D22)))</f>
        <v>109.15514123774261</v>
      </c>
      <c r="R62" s="183">
        <f>(Pharmaceutical!O22^2/Pharmaceutical!$C22+Pharmaceutical!P22^2/Pharmaceutical!$D22)/((Pharmaceutical!O22^2/Pharmaceutical!$C22)/(Pharmaceutical!$C22-1)+(Pharmaceutical!P22^2/Pharmaceutical!$D22)/(Pharmaceutical!$D22-1))</f>
        <v>19959.144828190965</v>
      </c>
      <c r="S62" s="25">
        <f t="shared" si="14"/>
        <v>1.9600828488434434</v>
      </c>
      <c r="T62" s="28">
        <f t="shared" si="15"/>
        <v>0</v>
      </c>
      <c r="U62" s="35">
        <f>Pharmaceutical!S22-Pharmaceutical!T22</f>
        <v>6763</v>
      </c>
      <c r="V62" s="40">
        <f>Pharmaceutical!U22-Pharmaceutical!V22</f>
        <v>2.0364348087925324</v>
      </c>
      <c r="W62" s="40">
        <f>SQRT(Pharmaceutical!W22^2+Pharmaceutical!X22^2)</f>
        <v>3.3172773461830078</v>
      </c>
      <c r="X62" s="183">
        <f>(Pharmaceutical!$Q22-1)*Pharmaceutical!$W22+(Pharmaceutical!$R22-1)*Pharmaceutical!$X22/(Pharmaceutical!$Q22+Pharmaceutical!$R22-2)</f>
        <v>8828.6007725377294</v>
      </c>
      <c r="Y62" s="40">
        <f>ABS(V62)/(SQRT((Pharmaceutical!W22/Pharmaceutical!$Q22)+(Pharmaceutical!X22/Pharmaceutical!$R22)))</f>
        <v>54.466608971079943</v>
      </c>
      <c r="Z62" s="183">
        <f>(Pharmaceutical!W22^2/Pharmaceutical!$Q22+Pharmaceutical!X22^2/Pharmaceutical!$R22)/((Pharmaceutical!W22^2/Pharmaceutical!$Q22)/(Pharmaceutical!$Q22-1)+(Pharmaceutical!X22^2/Pharmaceutical!$R22)/(Pharmaceutical!$R22-1))</f>
        <v>3320</v>
      </c>
      <c r="AA62" s="25">
        <f t="shared" si="16"/>
        <v>1.960678780206351</v>
      </c>
      <c r="AB62" s="28">
        <f t="shared" si="17"/>
        <v>0</v>
      </c>
      <c r="AC62" s="74">
        <f>Pharmaceutical!Y22-Pharmaceutical!Z22</f>
        <v>52043.337990000015</v>
      </c>
      <c r="AD62" s="77">
        <f>Pharmaceutical!AA22-Pharmaceutical!AB22</f>
        <v>15.670984037940382</v>
      </c>
      <c r="AE62" s="57">
        <f>SQRT(Pharmaceutical!AC22^2+Pharmaceutical!AD22^2)</f>
        <v>30.800818209782001</v>
      </c>
      <c r="AF62" s="183">
        <f>(Pharmaceutical!$Q22-1)*Pharmaceutical!$AC22+(Pharmaceutical!$R22-1)*Pharmaceutical!$AD22/(Pharmaceutical!$Q22+Pharmaceutical!$R22-2)</f>
        <v>82236.986980066722</v>
      </c>
      <c r="AG62" s="40">
        <f>ABS(AD62)/(SQRT((Pharmaceutical!AC22/Pharmaceutical!$Q22)+(Pharmaceutical!AD22/Pharmaceutical!$R22)))</f>
        <v>137.59561534137251</v>
      </c>
      <c r="AH62" s="183">
        <f>(Pharmaceutical!AC22^2/Pharmaceutical!$Q22+Pharmaceutical!AD22^2/Pharmaceutical!$R22)/((Pharmaceutical!AC22^2/Pharmaceutical!$Q22)/(Pharmaceutical!$Q22-1)+(Pharmaceutical!AD22^2/Pharmaceutical!$R22)/(Pharmaceutical!$R22-1))</f>
        <v>3320</v>
      </c>
      <c r="AI62" s="25">
        <f t="shared" si="18"/>
        <v>1.960678780206351</v>
      </c>
      <c r="AJ62" s="28">
        <f t="shared" si="19"/>
        <v>0</v>
      </c>
      <c r="AK62" s="35">
        <f>Pharmaceutical!AG22-Pharmaceutical!AH22</f>
        <v>3990</v>
      </c>
      <c r="AL62" s="40">
        <f>Pharmaceutical!AI22-Pharmaceutical!AJ22</f>
        <v>1.6715542521994133</v>
      </c>
      <c r="AM62" s="40">
        <f>SQRT(Pharmaceutical!AK22^2+Pharmaceutical!AL22^2)</f>
        <v>3.4656326469333698</v>
      </c>
      <c r="AN62" s="183">
        <f>(Pharmaceutical!$AE22-1)*Pharmaceutical!$AK22+(Pharmaceutical!$AF22-1)*Pharmaceutical!$AL22/(Pharmaceutical!$AE22+Pharmaceutical!$AF22-2)</f>
        <v>6850.1839728865807</v>
      </c>
      <c r="AO62" s="40">
        <f>ABS(AL62)/(SQRT((Pharmaceutical!AK22/Pharmaceutical!$AE22)+(Pharmaceutical!AL22/Pharmaceutical!$AF22)))</f>
        <v>37.227958377240618</v>
      </c>
      <c r="AP62" s="183">
        <f>(Pharmaceutical!AK22^2/Pharmaceutical!$AE22+Pharmaceutical!AL22^2/Pharmaceutical!$AF22)/((Pharmaceutical!AK22^2/Pharmaceutical!$AE22)/(Pharmaceutical!$AE22-1)+(Pharmaceutical!AL22^2/Pharmaceutical!$AF22)/(Pharmaceutical!$AF22-1))</f>
        <v>2386</v>
      </c>
      <c r="AQ62" s="25">
        <f t="shared" si="20"/>
        <v>1.9609587266276327</v>
      </c>
      <c r="AR62" s="28">
        <f t="shared" si="21"/>
        <v>1.4185383524994032E-239</v>
      </c>
      <c r="AS62" s="74">
        <f>Pharmaceutical!AM22-Pharmaceutical!AN22</f>
        <v>44713.612578</v>
      </c>
      <c r="AT62" s="77">
        <f>Pharmaceutical!AO22-Pharmaceutical!AP22</f>
        <v>18.732137653121072</v>
      </c>
      <c r="AU62" s="57">
        <f>SQRT(Pharmaceutical!AQ22^2+Pharmaceutical!AR22^2)</f>
        <v>41.841462314477894</v>
      </c>
      <c r="AV62" s="183">
        <f>(Pharmaceutical!$AE22-1)*Pharmaceutical!$AQ22+(Pharmaceutical!$AF22-1)*Pharmaceutical!$AR22/(Pharmaceutical!$AE22+Pharmaceutical!$AF22-2)</f>
        <v>87176.733230506477</v>
      </c>
      <c r="AW62" s="40">
        <f>ABS(AT62)/(SQRT((Pharmaceutical!AQ22/Pharmaceutical!$AE22)+(Pharmaceutical!AR22/Pharmaceutical!$AF22)))</f>
        <v>121.29432319353153</v>
      </c>
      <c r="AX62" s="183">
        <f>(Pharmaceutical!AQ22^2/Pharmaceutical!$AE22+Pharmaceutical!AR22^2/Pharmaceutical!$AF22)/((Pharmaceutical!AQ22^2/Pharmaceutical!$AE22)/(Pharmaceutical!$AE22-1)+(Pharmaceutical!AR22^2/Pharmaceutical!$AF22)/(Pharmaceutical!$AF22-1))</f>
        <v>2386.0000000000005</v>
      </c>
      <c r="AY62" s="25">
        <f t="shared" si="22"/>
        <v>1.9609587266276327</v>
      </c>
      <c r="AZ62" s="188">
        <f t="shared" si="23"/>
        <v>0</v>
      </c>
    </row>
    <row r="63" spans="1:52" ht="15.75" thickTop="1" x14ac:dyDescent="0.25">
      <c r="A63" s="263">
        <v>2014</v>
      </c>
      <c r="B63" s="5" t="s">
        <v>0</v>
      </c>
      <c r="C63" s="192">
        <f>Pharmaceutical!C23/IncidenceComplications!$G20</f>
        <v>0.88322717622080682</v>
      </c>
      <c r="D63" s="192">
        <f>Pharmaceutical!D23/IncidenceComplications!$G20</f>
        <v>0.6284501061571125</v>
      </c>
      <c r="E63" s="3">
        <f>Pharmaceutical!E23-Pharmaceutical!F23</f>
        <v>770</v>
      </c>
      <c r="F63" s="37">
        <f>Pharmaceutical!G23-Pharmaceutical!H23</f>
        <v>1.6348195329087047</v>
      </c>
      <c r="G63" s="37">
        <f>SQRT(Pharmaceutical!I23^2+Pharmaceutical!J23^2)</f>
        <v>3.8096163875716602</v>
      </c>
      <c r="H63" s="146">
        <f>(Pharmaceutical!$C23-1)*Pharmaceutical!$I23+(Pharmaceutical!$D23-1)*Pharmaceutical!$J23/(Pharmaceutical!$C23+Pharmaceutical!$D23-2)</f>
        <v>1223.3890340127464</v>
      </c>
      <c r="I63" s="37">
        <f>ABS(F63)/(SQRT((Pharmaceutical!I23/Pharmaceutical!$C23)+(Pharmaceutical!J23/Pharmaceutical!$D23)))</f>
        <v>13.241514240419018</v>
      </c>
      <c r="J63" s="146">
        <f>(Pharmaceutical!I23^2/Pharmaceutical!$C23+Pharmaceutical!J23^2/Pharmaceutical!$D23)/((Pharmaceutical!I23^2/Pharmaceutical!$C23)/(Pharmaceutical!$C23-1)+(Pharmaceutical!J23^2/Pharmaceutical!$D23)/(Pharmaceutical!$D23-1))</f>
        <v>346.49819787418136</v>
      </c>
      <c r="K63" s="23">
        <f t="shared" si="12"/>
        <v>1.9668438982060858</v>
      </c>
      <c r="L63" s="26">
        <f t="shared" si="13"/>
        <v>1.1610117692067569E-32</v>
      </c>
      <c r="M63" s="54">
        <f>Pharmaceutical!K23-Pharmaceutical!L23</f>
        <v>3580.09</v>
      </c>
      <c r="N63" s="69">
        <f>Pharmaceutical!M23-Pharmaceutical!N23</f>
        <v>7.6010403397027613</v>
      </c>
      <c r="O63" s="49">
        <f>SQRT(Pharmaceutical!O23^2+Pharmaceutical!P23^2)</f>
        <v>20.045617421553377</v>
      </c>
      <c r="P63" s="146">
        <f>(Pharmaceutical!$C23-1)*Pharmaceutical!$O23+(Pharmaceutical!$D23-1)*Pharmaceutical!$P23/(Pharmaceutical!$C23+Pharmaceutical!$D23-2)</f>
        <v>6550.6668609422532</v>
      </c>
      <c r="Q63" s="37">
        <f>ABS(N63)/(SQRT((Pharmaceutical!O23/Pharmaceutical!$C23)+(Pharmaceutical!P23/Pharmaceutical!$D23)))</f>
        <v>26.9224609337824</v>
      </c>
      <c r="R63" s="146">
        <f>(Pharmaceutical!O23^2/Pharmaceutical!$C23+Pharmaceutical!P23^2/Pharmaceutical!$D23)/((Pharmaceutical!O23^2/Pharmaceutical!$C23)/(Pharmaceutical!$C23-1)+(Pharmaceutical!P23^2/Pharmaceutical!$D23)/(Pharmaceutical!$D23-1))</f>
        <v>349.14054810477955</v>
      </c>
      <c r="S63" s="23">
        <f t="shared" si="14"/>
        <v>1.9667845565748452</v>
      </c>
      <c r="T63" s="26">
        <f t="shared" si="15"/>
        <v>3.4717062693720287E-87</v>
      </c>
      <c r="U63" s="2">
        <f>Pharmaceutical!S23-Pharmaceutical!T23</f>
        <v>463</v>
      </c>
      <c r="V63" s="37">
        <f>Pharmaceutical!U23-Pharmaceutical!V23</f>
        <v>3.149659863945578</v>
      </c>
      <c r="W63" s="37">
        <f>SQRT(Pharmaceutical!W23^2+Pharmaceutical!X23^2)</f>
        <v>3.968083930854498</v>
      </c>
      <c r="X63" s="146">
        <f>(Pharmaceutical!$Q23-1)*Pharmaceutical!$W23+(Pharmaceutical!$R23-1)*Pharmaceutical!$X23/(Pharmaceutical!$Q23+Pharmaceutical!$R23-2)</f>
        <v>468.34053991500002</v>
      </c>
      <c r="Y63" s="37">
        <f>ABS(V63)/(SQRT((Pharmaceutical!W23/Pharmaceutical!$Q23)+(Pharmaceutical!X23/Pharmaceutical!$R23)))</f>
        <v>16.214841920400605</v>
      </c>
      <c r="Z63" s="146">
        <f>(Pharmaceutical!W23^2/Pharmaceutical!$Q23+Pharmaceutical!X23^2/Pharmaceutical!$R23)/((Pharmaceutical!W23^2/Pharmaceutical!$Q23)/(Pharmaceutical!$Q23-1)+(Pharmaceutical!X23^2/Pharmaceutical!$R23)/(Pharmaceutical!$R23-1))</f>
        <v>146.00000000000003</v>
      </c>
      <c r="AA63" s="23">
        <f t="shared" si="16"/>
        <v>1.9763456545938156</v>
      </c>
      <c r="AB63" s="26">
        <f t="shared" si="17"/>
        <v>1.8255171540918188E-34</v>
      </c>
      <c r="AC63" s="54">
        <f>Pharmaceutical!Y23-Pharmaceutical!Z23</f>
        <v>2477.7799999999997</v>
      </c>
      <c r="AD63" s="69">
        <f>Pharmaceutical!AA23-Pharmaceutical!AB23</f>
        <v>16.855646258503402</v>
      </c>
      <c r="AE63" s="49">
        <f>SQRT(Pharmaceutical!AC23^2+Pharmaceutical!AD23^2)</f>
        <v>23.633092532005982</v>
      </c>
      <c r="AF63" s="146">
        <f>(Pharmaceutical!$Q23-1)*Pharmaceutical!$AC23+(Pharmaceutical!$R23-1)*Pharmaceutical!$AD23/(Pharmaceutical!$Q23+Pharmaceutical!$R23-2)</f>
        <v>2826.2619454000001</v>
      </c>
      <c r="AG63" s="37">
        <f>ABS(AD63)/(SQRT((Pharmaceutical!AC23/Pharmaceutical!$Q23)+(Pharmaceutical!AD23/Pharmaceutical!$R23)))</f>
        <v>35.610436269504504</v>
      </c>
      <c r="AH63" s="146">
        <f>(Pharmaceutical!AC23^2/Pharmaceutical!$Q23+Pharmaceutical!AD23^2/Pharmaceutical!$R23)/((Pharmaceutical!AC23^2/Pharmaceutical!$Q23)/(Pharmaceutical!$Q23-1)+(Pharmaceutical!AD23^2/Pharmaceutical!$R23)/(Pharmaceutical!$R23-1))</f>
        <v>146</v>
      </c>
      <c r="AI63" s="23">
        <f t="shared" si="18"/>
        <v>1.9763456545938156</v>
      </c>
      <c r="AJ63" s="26">
        <f t="shared" si="19"/>
        <v>7.1611782202853697E-74</v>
      </c>
      <c r="AK63" s="2">
        <f>Pharmaceutical!AG23-Pharmaceutical!AH23</f>
        <v>137</v>
      </c>
      <c r="AL63" s="37">
        <f>Pharmaceutical!AI23-Pharmaceutical!AJ23</f>
        <v>2.6862745098039214</v>
      </c>
      <c r="AM63" s="37">
        <f>SQRT(Pharmaceutical!AK23^2+Pharmaceutical!AL23^2)</f>
        <v>3.9693926986318404</v>
      </c>
      <c r="AN63" s="146">
        <f>(Pharmaceutical!$AE23-1)*Pharmaceutical!$AK23+(Pharmaceutical!$AF23-1)*Pharmaceutical!$AL23/(Pharmaceutical!$AE23+Pharmaceutical!$AF23-2)</f>
        <v>169.64573141500003</v>
      </c>
      <c r="AO63" s="37">
        <f>ABS(AL63)/(SQRT((Pharmaceutical!AK23/Pharmaceutical!$AE23)+(Pharmaceutical!AL23/Pharmaceutical!$AF23)))</f>
        <v>8.2052505671938469</v>
      </c>
      <c r="AP63" s="146">
        <f>(Pharmaceutical!AK23^2/Pharmaceutical!$AE23+Pharmaceutical!AL23^2/Pharmaceutical!$AF23)/((Pharmaceutical!AK23^2/Pharmaceutical!$AE23)/(Pharmaceutical!$AE23-1)+(Pharmaceutical!AL23^2/Pharmaceutical!$AF23)/(Pharmaceutical!$AF23-1))</f>
        <v>49.999999999999993</v>
      </c>
      <c r="AQ63" s="23">
        <f t="shared" si="20"/>
        <v>2.0095752371292388</v>
      </c>
      <c r="AR63" s="26">
        <f t="shared" si="21"/>
        <v>9.2914622393724954E-11</v>
      </c>
      <c r="AS63" s="54">
        <f>Pharmaceutical!AM23-Pharmaceutical!AN23</f>
        <v>881.97</v>
      </c>
      <c r="AT63" s="69">
        <f>Pharmaceutical!AO23-Pharmaceutical!AP23</f>
        <v>17.293529411764705</v>
      </c>
      <c r="AU63" s="49">
        <f>SQRT(Pharmaceutical!AQ23^2+Pharmaceutical!AR23^2)</f>
        <v>22.036125312059195</v>
      </c>
      <c r="AV63" s="146">
        <f>(Pharmaceutical!$AE23-1)*Pharmaceutical!$AQ23+(Pharmaceutical!$AF23-1)*Pharmaceutical!$AR23/(Pharmaceutical!$AE23+Pharmaceutical!$AF23-2)</f>
        <v>964.45107500000006</v>
      </c>
      <c r="AW63" s="37">
        <f>ABS(AT63)/(SQRT((Pharmaceutical!AQ23/Pharmaceutical!$AE23)+(Pharmaceutical!AR23/Pharmaceutical!$AF23)))</f>
        <v>22.536962248649495</v>
      </c>
      <c r="AX63" s="146">
        <f>(Pharmaceutical!AQ23^2/Pharmaceutical!$AE23+Pharmaceutical!AR23^2/Pharmaceutical!$AF23)/((Pharmaceutical!AQ23^2/Pharmaceutical!$AE23)/(Pharmaceutical!$AE23-1)+(Pharmaceutical!AR23^2/Pharmaceutical!$AF23)/(Pharmaceutical!$AF23-1))</f>
        <v>50</v>
      </c>
      <c r="AY63" s="23">
        <f t="shared" si="22"/>
        <v>2.0085591121007611</v>
      </c>
      <c r="AZ63" s="186">
        <f t="shared" si="23"/>
        <v>7.5841933446324609E-28</v>
      </c>
    </row>
    <row r="64" spans="1:52" x14ac:dyDescent="0.25">
      <c r="A64" s="261"/>
      <c r="B64" s="5" t="s">
        <v>1</v>
      </c>
      <c r="C64" s="192">
        <f>Pharmaceutical!C24/IncidenceComplications!$G21</f>
        <v>0.85757575757575755</v>
      </c>
      <c r="D64" s="192">
        <f>Pharmaceutical!D24/IncidenceComplications!$G21</f>
        <v>0.60909090909090913</v>
      </c>
      <c r="E64" s="3">
        <f>Pharmaceutical!E24-Pharmaceutical!F24</f>
        <v>1908</v>
      </c>
      <c r="F64" s="37">
        <f>Pharmaceutical!G24-Pharmaceutical!H24</f>
        <v>1.4454545454545455</v>
      </c>
      <c r="G64" s="37">
        <f>SQRT(Pharmaceutical!I24^2+Pharmaceutical!J24^2)</f>
        <v>3.8692407130192352</v>
      </c>
      <c r="H64" s="146">
        <f>(Pharmaceutical!$C24-1)*Pharmaceutical!$I24+(Pharmaceutical!$D24-1)*Pharmaceutical!$J24/(Pharmaceutical!$C24+Pharmaceutical!$D24-2)</f>
        <v>3374.100209890295</v>
      </c>
      <c r="I64" s="37">
        <f>ABS(F64)/(SQRT((Pharmaceutical!I24/Pharmaceutical!$C24)+(Pharmaceutical!J24/Pharmaceutical!$D24)))</f>
        <v>19.14453660724288</v>
      </c>
      <c r="J64" s="146">
        <f>(Pharmaceutical!I24^2/Pharmaceutical!$C24+Pharmaceutical!J24^2/Pharmaceutical!$D24)/((Pharmaceutical!I24^2/Pharmaceutical!$C24)/(Pharmaceutical!$C24-1)+(Pharmaceutical!J24^2/Pharmaceutical!$D24)/(Pharmaceutical!$D24-1))</f>
        <v>942.29330313389153</v>
      </c>
      <c r="K64" s="23">
        <f t="shared" si="12"/>
        <v>1.9624855030066068</v>
      </c>
      <c r="L64" s="26">
        <f t="shared" si="13"/>
        <v>2.9204015480762804E-69</v>
      </c>
      <c r="M64" s="54">
        <f>Pharmaceutical!K24-Pharmaceutical!L24</f>
        <v>10806.61</v>
      </c>
      <c r="N64" s="69">
        <f>Pharmaceutical!M24-Pharmaceutical!N24</f>
        <v>8.1868257575757593</v>
      </c>
      <c r="O64" s="49">
        <f>SQRT(Pharmaceutical!O24^2+Pharmaceutical!P24^2)</f>
        <v>27.137181972043596</v>
      </c>
      <c r="P64" s="146">
        <f>(Pharmaceutical!$C24-1)*Pharmaceutical!$O24+(Pharmaceutical!$D24-1)*Pharmaceutical!$P24/(Pharmaceutical!$C24+Pharmaceutical!$D24-2)</f>
        <v>23592.715588899329</v>
      </c>
      <c r="Q64" s="37">
        <f>ABS(N64)/(SQRT((Pharmaceutical!O24/Pharmaceutical!$C24)+(Pharmaceutical!P24/Pharmaceutical!$D24)))</f>
        <v>40.923639419160686</v>
      </c>
      <c r="R64" s="146">
        <f>(Pharmaceutical!O24^2/Pharmaceutical!$C24+Pharmaceutical!P24^2/Pharmaceutical!$D24)/((Pharmaceutical!O24^2/Pharmaceutical!$C24)/(Pharmaceutical!$C24-1)+(Pharmaceutical!P24^2/Pharmaceutical!$D24)/(Pharmaceutical!$D24-1))</f>
        <v>941.09969849205049</v>
      </c>
      <c r="S64" s="23">
        <f t="shared" si="14"/>
        <v>1.9624881860127183</v>
      </c>
      <c r="T64" s="26">
        <f t="shared" si="15"/>
        <v>4.0451323804948373E-211</v>
      </c>
      <c r="U64" s="2">
        <f>Pharmaceutical!S24-Pharmaceutical!T24</f>
        <v>1116</v>
      </c>
      <c r="V64" s="37">
        <f>Pharmaceutical!U24-Pharmaceutical!V24</f>
        <v>2.5078651685393258</v>
      </c>
      <c r="W64" s="37">
        <f>SQRT(Pharmaceutical!W24^2+Pharmaceutical!X24^2)</f>
        <v>4.1880703427083406</v>
      </c>
      <c r="X64" s="146">
        <f>(Pharmaceutical!$Q24-1)*Pharmaceutical!$W24+(Pharmaceutical!$R24-1)*Pharmaceutical!$X24/(Pharmaceutical!$Q24+Pharmaceutical!$R24-2)</f>
        <v>1450.8851120950001</v>
      </c>
      <c r="Y64" s="37">
        <f>ABS(V64)/(SQRT((Pharmaceutical!W24/Pharmaceutical!$Q24)+(Pharmaceutical!X24/Pharmaceutical!$R24)))</f>
        <v>21.802258734415172</v>
      </c>
      <c r="Z64" s="146">
        <f>(Pharmaceutical!W24^2/Pharmaceutical!$Q24+Pharmaceutical!X24^2/Pharmaceutical!$R24)/((Pharmaceutical!W24^2/Pharmaceutical!$Q24)/(Pharmaceutical!$Q24-1)+(Pharmaceutical!X24^2/Pharmaceutical!$R24)/(Pharmaceutical!$R24-1))</f>
        <v>444</v>
      </c>
      <c r="AA64" s="23">
        <f t="shared" si="16"/>
        <v>1.9653212845225878</v>
      </c>
      <c r="AB64" s="26">
        <f t="shared" si="17"/>
        <v>3.5302610728621459E-72</v>
      </c>
      <c r="AC64" s="54">
        <f>Pharmaceutical!Y24-Pharmaceutical!Z24</f>
        <v>7131.03</v>
      </c>
      <c r="AD64" s="69">
        <f>Pharmaceutical!AA24-Pharmaceutical!AB24</f>
        <v>16.024786516853933</v>
      </c>
      <c r="AE64" s="49">
        <f>SQRT(Pharmaceutical!AC24^2+Pharmaceutical!AD24^2)</f>
        <v>29.508239314821768</v>
      </c>
      <c r="AF64" s="146">
        <f>(Pharmaceutical!$Q24-1)*Pharmaceutical!$AC24+(Pharmaceutical!$R24-1)*Pharmaceutical!$AD24/(Pharmaceutical!$Q24+Pharmaceutical!$R24-2)</f>
        <v>10479.81966205</v>
      </c>
      <c r="AG64" s="37">
        <f>ABS(AD64)/(SQRT((Pharmaceutical!AC24/Pharmaceutical!$Q24)+(Pharmaceutical!AD24/Pharmaceutical!$R24)))</f>
        <v>52.589116970070215</v>
      </c>
      <c r="AH64" s="146">
        <f>(Pharmaceutical!AC24^2/Pharmaceutical!$Q24+Pharmaceutical!AD24^2/Pharmaceutical!$R24)/((Pharmaceutical!AC24^2/Pharmaceutical!$Q24)/(Pharmaceutical!$Q24-1)+(Pharmaceutical!AD24^2/Pharmaceutical!$R24)/(Pharmaceutical!$R24-1))</f>
        <v>443.99999999999994</v>
      </c>
      <c r="AI64" s="23">
        <f t="shared" si="18"/>
        <v>1.9653334102755078</v>
      </c>
      <c r="AJ64" s="26">
        <f t="shared" si="19"/>
        <v>1.3793294897790431E-192</v>
      </c>
      <c r="AK64" s="2">
        <f>Pharmaceutical!AG24-Pharmaceutical!AH24</f>
        <v>343</v>
      </c>
      <c r="AL64" s="37">
        <f>Pharmaceutical!AI24-Pharmaceutical!AJ24</f>
        <v>2.1172839506172836</v>
      </c>
      <c r="AM64" s="37">
        <f>SQRT(Pharmaceutical!AK24^2+Pharmaceutical!AL24^2)</f>
        <v>4.6849890091258892</v>
      </c>
      <c r="AN64" s="146">
        <f>(Pharmaceutical!$AE24-1)*Pharmaceutical!$AK24+(Pharmaceutical!$AF24-1)*Pharmaceutical!$AL24/(Pharmaceutical!$AE24+Pharmaceutical!$AF24-2)</f>
        <v>595.80394578999994</v>
      </c>
      <c r="AO64" s="37">
        <f>ABS(AL64)/(SQRT((Pharmaceutical!AK24/Pharmaceutical!$AE24)+(Pharmaceutical!AL24/Pharmaceutical!$AF24)))</f>
        <v>10.508681504034346</v>
      </c>
      <c r="AP64" s="146">
        <f>(Pharmaceutical!AK24^2/Pharmaceutical!$AE24+Pharmaceutical!AL24^2/Pharmaceutical!$AF24)/((Pharmaceutical!AK24^2/Pharmaceutical!$AE24)/(Pharmaceutical!$AE24-1)+(Pharmaceutical!AL24^2/Pharmaceutical!$AF24)/(Pharmaceutical!$AF24-1))</f>
        <v>161</v>
      </c>
      <c r="AQ64" s="23">
        <f t="shared" si="20"/>
        <v>1.9748080917517898</v>
      </c>
      <c r="AR64" s="26">
        <f t="shared" si="21"/>
        <v>5.3586079936650756E-20</v>
      </c>
      <c r="AS64" s="54">
        <f>Pharmaceutical!AM24-Pharmaceutical!AN24</f>
        <v>2598.0899999999997</v>
      </c>
      <c r="AT64" s="69">
        <f>Pharmaceutical!AO24-Pharmaceutical!AP24</f>
        <v>16.037592592592592</v>
      </c>
      <c r="AU64" s="49">
        <f>SQRT(Pharmaceutical!AQ24^2+Pharmaceutical!AR24^2)</f>
        <v>35.615684724775853</v>
      </c>
      <c r="AV64" s="146">
        <f>(Pharmaceutical!$AE24-1)*Pharmaceutical!$AQ24+(Pharmaceutical!$AF24-1)*Pharmaceutical!$AR24/(Pharmaceutical!$AE24+Pharmaceutical!$AF24-2)</f>
        <v>4611.7074155000009</v>
      </c>
      <c r="AW64" s="37">
        <f>ABS(AT64)/(SQRT((Pharmaceutical!AQ24/Pharmaceutical!$AE24)+(Pharmaceutical!AR24/Pharmaceutical!$AF24)))</f>
        <v>28.916011190085875</v>
      </c>
      <c r="AX64" s="146">
        <f>(Pharmaceutical!AQ24^2/Pharmaceutical!$AE24+Pharmaceutical!AR24^2/Pharmaceutical!$AF24)/((Pharmaceutical!AQ24^2/Pharmaceutical!$AE24)/(Pharmaceutical!$AE24-1)+(Pharmaceutical!AR24^2/Pharmaceutical!$AF24)/(Pharmaceutical!$AF24-1))</f>
        <v>161</v>
      </c>
      <c r="AY64" s="23">
        <f t="shared" si="22"/>
        <v>1.9748080917517898</v>
      </c>
      <c r="AZ64" s="186">
        <f t="shared" si="23"/>
        <v>1.2171511246199713E-65</v>
      </c>
    </row>
    <row r="65" spans="1:52" x14ac:dyDescent="0.25">
      <c r="A65" s="261"/>
      <c r="B65" s="5" t="s">
        <v>2</v>
      </c>
      <c r="C65" s="192">
        <f>Pharmaceutical!C25/IncidenceComplications!$G22</f>
        <v>0.80710059171597637</v>
      </c>
      <c r="D65" s="192">
        <f>Pharmaceutical!D25/IncidenceComplications!$G22</f>
        <v>0.40118343195266271</v>
      </c>
      <c r="E65" s="3">
        <f>Pharmaceutical!E25-Pharmaceutical!F25</f>
        <v>1145</v>
      </c>
      <c r="F65" s="37">
        <f>Pharmaceutical!G25-Pharmaceutical!H25</f>
        <v>1.3550295857988166</v>
      </c>
      <c r="G65" s="37">
        <f>SQRT(Pharmaceutical!I25^2+Pharmaceutical!J25^2)</f>
        <v>2.7558971319220138</v>
      </c>
      <c r="H65" s="146">
        <f>(Pharmaceutical!$C25-1)*Pharmaceutical!$I25+(Pharmaceutical!$D25-1)*Pharmaceutical!$J25/(Pharmaceutical!$C25+Pharmaceutical!$D25-2)</f>
        <v>1528.3855722801179</v>
      </c>
      <c r="I65" s="37">
        <f>ABS(F65)/(SQRT((Pharmaceutical!I25/Pharmaceutical!$C25)+(Pharmaceutical!J25/Pharmaceutical!$D25)))</f>
        <v>15.139497740941865</v>
      </c>
      <c r="J65" s="146">
        <f>(Pharmaceutical!I25^2/Pharmaceutical!$C25+Pharmaceutical!J25^2/Pharmaceutical!$D25)/((Pharmaceutical!I25^2/Pharmaceutical!$C25)/(Pharmaceutical!$C25-1)+(Pharmaceutical!J25^2/Pharmaceutical!$D25)/(Pharmaceutical!$D25-1))</f>
        <v>449.9929289858236</v>
      </c>
      <c r="K65" s="23">
        <f t="shared" si="12"/>
        <v>1.9652614680903735</v>
      </c>
      <c r="L65" s="26">
        <f t="shared" si="13"/>
        <v>3.9639377379507356E-42</v>
      </c>
      <c r="M65" s="54">
        <f>Pharmaceutical!K25-Pharmaceutical!L25</f>
        <v>7083.9099999999989</v>
      </c>
      <c r="N65" s="69">
        <f>Pharmaceutical!M25-Pharmaceutical!N25</f>
        <v>8.3833254437869815</v>
      </c>
      <c r="O65" s="49">
        <f>SQRT(Pharmaceutical!O25^2+Pharmaceutical!P25^2)</f>
        <v>23.082891320785443</v>
      </c>
      <c r="P65" s="146">
        <f>(Pharmaceutical!$C25-1)*Pharmaceutical!$O25+(Pharmaceutical!$D25-1)*Pharmaceutical!$P25/(Pharmaceutical!$C25+Pharmaceutical!$D25-2)</f>
        <v>12856.414951794208</v>
      </c>
      <c r="Q65" s="37">
        <f>ABS(N65)/(SQRT((Pharmaceutical!O25/Pharmaceutical!$C25)+(Pharmaceutical!P25/Pharmaceutical!$D25)))</f>
        <v>32.416845494344685</v>
      </c>
      <c r="R65" s="146">
        <f>(Pharmaceutical!O25^2/Pharmaceutical!$C25+Pharmaceutical!P25^2/Pharmaceutical!$D25)/((Pharmaceutical!O25^2/Pharmaceutical!$C25)/(Pharmaceutical!$C25-1)+(Pharmaceutical!P25^2/Pharmaceutical!$D25)/(Pharmaceutical!$D25-1))</f>
        <v>451.93521656670515</v>
      </c>
      <c r="S65" s="23">
        <f t="shared" si="14"/>
        <v>1.9652379138637808</v>
      </c>
      <c r="T65" s="26">
        <f t="shared" si="15"/>
        <v>6.9046627202615158E-120</v>
      </c>
      <c r="U65" s="2">
        <f>Pharmaceutical!S25-Pharmaceutical!T25</f>
        <v>332</v>
      </c>
      <c r="V65" s="37">
        <f>Pharmaceutical!U25-Pharmaceutical!V25</f>
        <v>2.2133333333333334</v>
      </c>
      <c r="W65" s="37">
        <f>SQRT(Pharmaceutical!W25^2+Pharmaceutical!X25^2)</f>
        <v>3.068538477990963</v>
      </c>
      <c r="X65" s="146">
        <f>(Pharmaceutical!$Q25-1)*Pharmaceutical!$W25+(Pharmaceutical!$R25-1)*Pharmaceutical!$X25/(Pharmaceutical!$Q25+Pharmaceutical!$R25-2)</f>
        <v>398.57384063000001</v>
      </c>
      <c r="Y65" s="37">
        <f>ABS(V65)/(SQRT((Pharmaceutical!W25/Pharmaceutical!$Q25)+(Pharmaceutical!X25/Pharmaceutical!$R25)))</f>
        <v>13.255067834993897</v>
      </c>
      <c r="Z65" s="146">
        <f>(Pharmaceutical!W25^2/Pharmaceutical!$Q25+Pharmaceutical!X25^2/Pharmaceutical!$R25)/((Pharmaceutical!W25^2/Pharmaceutical!$Q25)/(Pharmaceutical!$Q25-1)+(Pharmaceutical!X25^2/Pharmaceutical!$R25)/(Pharmaceutical!$R25-1))</f>
        <v>149</v>
      </c>
      <c r="AA65" s="23">
        <f t="shared" si="16"/>
        <v>1.976013177689196</v>
      </c>
      <c r="AB65" s="26">
        <f t="shared" si="17"/>
        <v>5.531362096389999E-27</v>
      </c>
      <c r="AC65" s="54">
        <f>Pharmaceutical!Y25-Pharmaceutical!Z25</f>
        <v>2112.6400000000003</v>
      </c>
      <c r="AD65" s="69">
        <f>Pharmaceutical!AA25-Pharmaceutical!AB25</f>
        <v>14.084266666666668</v>
      </c>
      <c r="AE65" s="49">
        <f>SQRT(Pharmaceutical!AC25^2+Pharmaceutical!AD25^2)</f>
        <v>25.489206820003144</v>
      </c>
      <c r="AF65" s="146">
        <f>(Pharmaceutical!$Q25-1)*Pharmaceutical!$AC25+(Pharmaceutical!$R25-1)*Pharmaceutical!$AD25/(Pharmaceutical!$Q25+Pharmaceutical!$R25-2)</f>
        <v>3333.4880837999999</v>
      </c>
      <c r="AG65" s="37">
        <f>ABS(AD65)/(SQRT((Pharmaceutical!AC25/Pharmaceutical!$Q25)+(Pharmaceutical!AD25/Pharmaceutical!$R25)))</f>
        <v>29.316728389458113</v>
      </c>
      <c r="AH65" s="146">
        <f>(Pharmaceutical!AC25^2/Pharmaceutical!$Q25+Pharmaceutical!AD25^2/Pharmaceutical!$R25)/((Pharmaceutical!AC25^2/Pharmaceutical!$Q25)/(Pharmaceutical!$Q25-1)+(Pharmaceutical!AD25^2/Pharmaceutical!$R25)/(Pharmaceutical!$R25-1))</f>
        <v>149</v>
      </c>
      <c r="AI65" s="23">
        <f t="shared" si="18"/>
        <v>1.976013177689196</v>
      </c>
      <c r="AJ65" s="26">
        <f t="shared" si="19"/>
        <v>9.5127002060693131E-64</v>
      </c>
      <c r="AK65" s="2">
        <f>Pharmaceutical!AG25-Pharmaceutical!AH25</f>
        <v>171</v>
      </c>
      <c r="AL65" s="37">
        <f>Pharmaceutical!AI25-Pharmaceutical!AJ25</f>
        <v>2.5147058823529411</v>
      </c>
      <c r="AM65" s="37">
        <f>SQRT(Pharmaceutical!AK25^2+Pharmaceutical!AL25^2)</f>
        <v>3.8381146115985736</v>
      </c>
      <c r="AN65" s="146">
        <f>(Pharmaceutical!$AE25-1)*Pharmaceutical!$AK25+(Pharmaceutical!$AF25-1)*Pharmaceutical!$AL25/(Pharmaceutical!$AE25+Pharmaceutical!$AF25-2)</f>
        <v>239.49262833500001</v>
      </c>
      <c r="AO65" s="37">
        <f>ABS(AL65)/(SQRT((Pharmaceutical!AK25/Pharmaceutical!$AE25)+(Pharmaceutical!AL25/Pharmaceutical!$AF25)))</f>
        <v>9.2843553326754389</v>
      </c>
      <c r="AP65" s="146">
        <f>(Pharmaceutical!AK25^2/Pharmaceutical!$AE25+Pharmaceutical!AL25^2/Pharmaceutical!$AF25)/((Pharmaceutical!AK25^2/Pharmaceutical!$AE25)/(Pharmaceutical!$AE25-1)+(Pharmaceutical!AL25^2/Pharmaceutical!$AF25)/(Pharmaceutical!$AF25-1))</f>
        <v>67</v>
      </c>
      <c r="AQ65" s="23">
        <f t="shared" si="20"/>
        <v>1.9960083540252964</v>
      </c>
      <c r="AR65" s="26">
        <f t="shared" si="21"/>
        <v>1.1879585954843721E-13</v>
      </c>
      <c r="AS65" s="54">
        <f>Pharmaceutical!AM25-Pharmaceutical!AN25</f>
        <v>1377.86</v>
      </c>
      <c r="AT65" s="69">
        <f>Pharmaceutical!AO25-Pharmaceutical!AP25</f>
        <v>20.262647058823525</v>
      </c>
      <c r="AU65" s="49">
        <f>SQRT(Pharmaceutical!AQ25^2+Pharmaceutical!AR25^2)</f>
        <v>38.459963733396769</v>
      </c>
      <c r="AV65" s="146">
        <f>(Pharmaceutical!$AE25-1)*Pharmaceutical!$AQ25+(Pharmaceutical!$AF25-1)*Pharmaceutical!$AR25/(Pharmaceutical!$AE25+Pharmaceutical!$AF25-2)</f>
        <v>2360.4394546499998</v>
      </c>
      <c r="AW65" s="37">
        <f>ABS(AT65)/(SQRT((Pharmaceutical!AQ25/Pharmaceutical!$AE25)+(Pharmaceutical!AR25/Pharmaceutical!$AF25)))</f>
        <v>23.442192325460994</v>
      </c>
      <c r="AX65" s="146">
        <f>(Pharmaceutical!AQ25^2/Pharmaceutical!$AE25+Pharmaceutical!AR25^2/Pharmaceutical!$AF25)/((Pharmaceutical!AQ25^2/Pharmaceutical!$AE25)/(Pharmaceutical!$AE25-1)+(Pharmaceutical!AR25^2/Pharmaceutical!$AF25)/(Pharmaceutical!$AF25-1))</f>
        <v>67</v>
      </c>
      <c r="AY65" s="23">
        <f t="shared" si="22"/>
        <v>1.9960083540252964</v>
      </c>
      <c r="AZ65" s="186">
        <f t="shared" si="23"/>
        <v>5.2648785277287993E-34</v>
      </c>
    </row>
    <row r="66" spans="1:52" x14ac:dyDescent="0.25">
      <c r="A66" s="261"/>
      <c r="B66" s="5" t="s">
        <v>3</v>
      </c>
      <c r="C66" s="192">
        <f>Pharmaceutical!C26/IncidenceComplications!$G23</f>
        <v>0.52574197456087224</v>
      </c>
      <c r="D66" s="192">
        <f>Pharmaceutical!D26/IncidenceComplications!$G23</f>
        <v>0.21562689279224712</v>
      </c>
      <c r="E66" s="3">
        <f>Pharmaceutical!E26-Pharmaceutical!F26</f>
        <v>1230</v>
      </c>
      <c r="F66" s="37">
        <f>Pharmaceutical!G26-Pharmaceutical!H26</f>
        <v>0.74500302846759547</v>
      </c>
      <c r="G66" s="37">
        <f>SQRT(Pharmaceutical!I26^2+Pharmaceutical!J26^2)</f>
        <v>1.864676128827079</v>
      </c>
      <c r="H66" s="146">
        <f>(Pharmaceutical!$C26-1)*Pharmaceutical!$I26+(Pharmaceutical!$D26-1)*Pharmaceutical!$J26/(Pharmaceutical!$C26+Pharmaceutical!$D26-2)</f>
        <v>1345.8620301516858</v>
      </c>
      <c r="I66" s="37">
        <f>ABS(F66)/(SQRT((Pharmaceutical!I26/Pharmaceutical!$C26)+(Pharmaceutical!J26/Pharmaceutical!$D26)))</f>
        <v>10.876888185215012</v>
      </c>
      <c r="J66" s="146">
        <f>(Pharmaceutical!I26^2/Pharmaceutical!$C26+Pharmaceutical!J26^2/Pharmaceutical!$D26)/((Pharmaceutical!I26^2/Pharmaceutical!$C26)/(Pharmaceutical!$C26-1)+(Pharmaceutical!J26^2/Pharmaceutical!$D26)/(Pharmaceutical!$D26-1))</f>
        <v>495.6080463872928</v>
      </c>
      <c r="K66" s="23">
        <f t="shared" si="12"/>
        <v>1.9647679919982419</v>
      </c>
      <c r="L66" s="26">
        <f t="shared" si="13"/>
        <v>7.4597468667510887E-25</v>
      </c>
      <c r="M66" s="54">
        <f>Pharmaceutical!K26-Pharmaceutical!L26</f>
        <v>11768.98</v>
      </c>
      <c r="N66" s="69">
        <f>Pharmaceutical!M26-Pharmaceutical!N26</f>
        <v>7.1283949121744392</v>
      </c>
      <c r="O66" s="49">
        <f>SQRT(Pharmaceutical!O26^2+Pharmaceutical!P26^2)</f>
        <v>20.424736890168688</v>
      </c>
      <c r="P66" s="146">
        <f>(Pharmaceutical!$C26-1)*Pharmaceutical!$O26+(Pharmaceutical!$D26-1)*Pharmaceutical!$P26/(Pharmaceutical!$C26+Pharmaceutical!$D26-2)</f>
        <v>14444.754885661048</v>
      </c>
      <c r="Q66" s="37">
        <f>ABS(N66)/(SQRT((Pharmaceutical!O26/Pharmaceutical!$C26)+(Pharmaceutical!P26/Pharmaceutical!$D26)))</f>
        <v>31.142463018146973</v>
      </c>
      <c r="R66" s="146">
        <f>(Pharmaceutical!O26^2/Pharmaceutical!$C26+Pharmaceutical!P26^2/Pharmaceutical!$D26)/((Pharmaceutical!O26^2/Pharmaceutical!$C26)/(Pharmaceutical!$C26-1)+(Pharmaceutical!P26^2/Pharmaceutical!$D26)/(Pharmaceutical!$D26-1))</f>
        <v>483.03541317789978</v>
      </c>
      <c r="S66" s="23">
        <f t="shared" si="14"/>
        <v>1.964887640611636</v>
      </c>
      <c r="T66" s="26">
        <f t="shared" si="15"/>
        <v>1.3923622848940405E-117</v>
      </c>
      <c r="U66" s="2">
        <f>Pharmaceutical!S26-Pharmaceutical!T26</f>
        <v>180</v>
      </c>
      <c r="V66" s="37">
        <f>Pharmaceutical!U26-Pharmaceutical!V26</f>
        <v>1.4754098360655736</v>
      </c>
      <c r="W66" s="37">
        <f>SQRT(Pharmaceutical!W26^2+Pharmaceutical!X26^2)</f>
        <v>2.7151494131835783</v>
      </c>
      <c r="X66" s="146">
        <f>(Pharmaceutical!$Q26-1)*Pharmaceutical!$W26+(Pharmaceutical!$R26-1)*Pharmaceutical!$X26/(Pharmaceutical!$Q26+Pharmaceutical!$R26-2)</f>
        <v>281.07064651999997</v>
      </c>
      <c r="Y66" s="37">
        <f>ABS(V66)/(SQRT((Pharmaceutical!W26/Pharmaceutical!$Q26)+(Pharmaceutical!X26/Pharmaceutical!$R26)))</f>
        <v>8.4352200058847941</v>
      </c>
      <c r="Z66" s="146">
        <f>(Pharmaceutical!W26^2/Pharmaceutical!$Q26+Pharmaceutical!X26^2/Pharmaceutical!$R26)/((Pharmaceutical!W26^2/Pharmaceutical!$Q26)/(Pharmaceutical!$Q26-1)+(Pharmaceutical!X26^2/Pharmaceutical!$R26)/(Pharmaceutical!$R26-1))</f>
        <v>121.00000000000001</v>
      </c>
      <c r="AA66" s="23">
        <f t="shared" si="16"/>
        <v>1.9797637625053852</v>
      </c>
      <c r="AB66" s="26">
        <f t="shared" si="17"/>
        <v>8.2686359605828304E-14</v>
      </c>
      <c r="AC66" s="54">
        <f>Pharmaceutical!Y26-Pharmaceutical!Z26</f>
        <v>2156.9700000000003</v>
      </c>
      <c r="AD66" s="69">
        <f>Pharmaceutical!AA26-Pharmaceutical!AB26</f>
        <v>17.680081967213113</v>
      </c>
      <c r="AE66" s="49">
        <f>SQRT(Pharmaceutical!AC26^2+Pharmaceutical!AD26^2)</f>
        <v>27.870649441591365</v>
      </c>
      <c r="AF66" s="146">
        <f>(Pharmaceutical!$Q26-1)*Pharmaceutical!$AC26+(Pharmaceutical!$R26-1)*Pharmaceutical!$AD26/(Pharmaceutical!$Q26+Pharmaceutical!$R26-2)</f>
        <v>3125.2723857999999</v>
      </c>
      <c r="AG66" s="37">
        <f>ABS(AD66)/(SQRT((Pharmaceutical!AC26/Pharmaceutical!$Q26)+(Pharmaceutical!AD26/Pharmaceutical!$R26)))</f>
        <v>32.384007299360093</v>
      </c>
      <c r="AH66" s="146">
        <f>(Pharmaceutical!AC26^2/Pharmaceutical!$Q26+Pharmaceutical!AD26^2/Pharmaceutical!$R26)/((Pharmaceutical!AC26^2/Pharmaceutical!$Q26)/(Pharmaceutical!$Q26-1)+(Pharmaceutical!AD26^2/Pharmaceutical!$R26)/(Pharmaceutical!$R26-1))</f>
        <v>121</v>
      </c>
      <c r="AI66" s="23">
        <f t="shared" si="18"/>
        <v>1.9797637625053852</v>
      </c>
      <c r="AJ66" s="26">
        <f t="shared" si="19"/>
        <v>1.8725158101307459E-61</v>
      </c>
      <c r="AK66" s="2">
        <f>Pharmaceutical!AG26-Pharmaceutical!AH26</f>
        <v>144</v>
      </c>
      <c r="AL66" s="37">
        <f>Pharmaceutical!AI26-Pharmaceutical!AJ26</f>
        <v>1.6551724137931034</v>
      </c>
      <c r="AM66" s="37">
        <f>SQRT(Pharmaceutical!AK26^2+Pharmaceutical!AL26^2)</f>
        <v>2.3565500168254592</v>
      </c>
      <c r="AN66" s="146">
        <f>(Pharmaceutical!$AE26-1)*Pharmaceutical!$AK26+(Pharmaceutical!$AF26-1)*Pharmaceutical!$AL26/(Pharmaceutical!$AE26+Pharmaceutical!$AF26-2)</f>
        <v>181.79450786499999</v>
      </c>
      <c r="AO66" s="37">
        <f>ABS(AL66)/(SQRT((Pharmaceutical!AK26/Pharmaceutical!$AE26)+(Pharmaceutical!AL26/Pharmaceutical!$AF26)))</f>
        <v>8.6825323160527521</v>
      </c>
      <c r="AP66" s="146">
        <f>(Pharmaceutical!AK26^2/Pharmaceutical!$AE26+Pharmaceutical!AL26^2/Pharmaceutical!$AF26)/((Pharmaceutical!AK26^2/Pharmaceutical!$AE26)/(Pharmaceutical!$AE26-1)+(Pharmaceutical!AL26^2/Pharmaceutical!$AF26)/(Pharmaceutical!$AF26-1))</f>
        <v>85.999999999999986</v>
      </c>
      <c r="AQ66" s="23">
        <f t="shared" si="20"/>
        <v>1.9882679074772251</v>
      </c>
      <c r="AR66" s="26">
        <f t="shared" si="21"/>
        <v>2.3720142204844196E-13</v>
      </c>
      <c r="AS66" s="54">
        <f>Pharmaceutical!AM26-Pharmaceutical!AN26</f>
        <v>1743.5100000000002</v>
      </c>
      <c r="AT66" s="69">
        <f>Pharmaceutical!AO26-Pharmaceutical!AP26</f>
        <v>20.04034482758621</v>
      </c>
      <c r="AU66" s="49">
        <f>SQRT(Pharmaceutical!AQ26^2+Pharmaceutical!AR26^2)</f>
        <v>28.311336354565444</v>
      </c>
      <c r="AV66" s="146">
        <f>(Pharmaceutical!$AE26-1)*Pharmaceutical!$AQ26+(Pharmaceutical!$AF26-1)*Pharmaceutical!$AR26/(Pharmaceutical!$AE26+Pharmaceutical!$AF26-2)</f>
        <v>2279.5844724500002</v>
      </c>
      <c r="AW66" s="37">
        <f>ABS(AT66)/(SQRT((Pharmaceutical!AQ26/Pharmaceutical!$AE26)+(Pharmaceutical!AR26/Pharmaceutical!$AF26)))</f>
        <v>30.919061394571088</v>
      </c>
      <c r="AX66" s="146">
        <f>(Pharmaceutical!AQ26^2/Pharmaceutical!$AE26+Pharmaceutical!AR26^2/Pharmaceutical!$AF26)/((Pharmaceutical!AQ26^2/Pharmaceutical!$AE26)/(Pharmaceutical!$AE26-1)+(Pharmaceutical!AR26^2/Pharmaceutical!$AF26)/(Pharmaceutical!$AF26-1))</f>
        <v>86</v>
      </c>
      <c r="AY66" s="23">
        <f t="shared" si="22"/>
        <v>1.987934206239018</v>
      </c>
      <c r="AZ66" s="186">
        <f t="shared" si="23"/>
        <v>2.3282027204146049E-48</v>
      </c>
    </row>
    <row r="67" spans="1:52" x14ac:dyDescent="0.25">
      <c r="A67" s="261"/>
      <c r="B67" s="5" t="s">
        <v>4</v>
      </c>
      <c r="C67" s="192">
        <f>Pharmaceutical!C27/IncidenceComplications!$G24</f>
        <v>0.43801777376110862</v>
      </c>
      <c r="D67" s="192">
        <f>Pharmaceutical!D27/IncidenceComplications!$G24</f>
        <v>0.23422202138876336</v>
      </c>
      <c r="E67" s="3">
        <f>Pharmaceutical!E27-Pharmaceutical!F27</f>
        <v>2698</v>
      </c>
      <c r="F67" s="37">
        <f>Pharmaceutical!G27-Pharmaceutical!H27</f>
        <v>0.40638650399156495</v>
      </c>
      <c r="G67" s="37">
        <f>SQRT(Pharmaceutical!I27^2+Pharmaceutical!J27^2)</f>
        <v>1.4498235934913815</v>
      </c>
      <c r="H67" s="146">
        <f>(Pharmaceutical!$C27-1)*Pharmaceutical!$I27+(Pharmaceutical!$D27-1)*Pharmaceutical!$J27/(Pharmaceutical!$C27+Pharmaceutical!$D27-2)</f>
        <v>3482.3412691970743</v>
      </c>
      <c r="I67" s="37">
        <f>ABS(F67)/(SQRT((Pharmaceutical!I27/Pharmaceutical!$C27)+(Pharmaceutical!J27/Pharmaceutical!$D27)))</f>
        <v>13.274646895843741</v>
      </c>
      <c r="J67" s="146">
        <f>(Pharmaceutical!I27^2/Pharmaceutical!$C27+Pharmaceutical!J27^2/Pharmaceutical!$D27)/((Pharmaceutical!I27^2/Pharmaceutical!$C27)/(Pharmaceutical!$C27-1)+(Pharmaceutical!J27^2/Pharmaceutical!$D27)/(Pharmaceutical!$D27-1))</f>
        <v>2069.0667629008162</v>
      </c>
      <c r="K67" s="23">
        <f t="shared" si="12"/>
        <v>1.9611112228253824</v>
      </c>
      <c r="L67" s="26">
        <f t="shared" si="13"/>
        <v>1.1798555413833287E-38</v>
      </c>
      <c r="M67" s="54">
        <f>Pharmaceutical!K27-Pharmaceutical!L27</f>
        <v>27308.33</v>
      </c>
      <c r="N67" s="69">
        <f>Pharmaceutical!M27-Pharmaceutical!N27</f>
        <v>4.1133197770748602</v>
      </c>
      <c r="O67" s="49">
        <f>SQRT(Pharmaceutical!O27^2+Pharmaceutical!P27^2)</f>
        <v>25.038466864627644</v>
      </c>
      <c r="P67" s="146">
        <f>(Pharmaceutical!$C27-1)*Pharmaceutical!$O27+(Pharmaceutical!$D27-1)*Pharmaceutical!$P27/(Pharmaceutical!$C27+Pharmaceutical!$D27-2)</f>
        <v>48123.04692820229</v>
      </c>
      <c r="Q67" s="37">
        <f>ABS(N67)/(SQRT((Pharmaceutical!O27/Pharmaceutical!$C27)+(Pharmaceutical!P27/Pharmaceutical!$D27)))</f>
        <v>30.853480293242139</v>
      </c>
      <c r="R67" s="146">
        <f>(Pharmaceutical!O27^2/Pharmaceutical!$C27+Pharmaceutical!P27^2/Pharmaceutical!$D27)/((Pharmaceutical!O27^2/Pharmaceutical!$C27)/(Pharmaceutical!$C27-1)+(Pharmaceutical!P27^2/Pharmaceutical!$D27)/(Pharmaceutical!$D27-1))</f>
        <v>1799.689431961425</v>
      </c>
      <c r="S67" s="23">
        <f t="shared" si="14"/>
        <v>1.9612835181402446</v>
      </c>
      <c r="T67" s="26">
        <f t="shared" si="15"/>
        <v>3.9084308328391867E-168</v>
      </c>
      <c r="U67" s="2">
        <f>Pharmaceutical!S27-Pharmaceutical!T27</f>
        <v>276</v>
      </c>
      <c r="V67" s="37">
        <f>Pharmaceutical!U27-Pharmaceutical!V27</f>
        <v>1.0260223048327137</v>
      </c>
      <c r="W67" s="37">
        <f>SQRT(Pharmaceutical!W27^2+Pharmaceutical!X27^2)</f>
        <v>1.6815083878083248</v>
      </c>
      <c r="X67" s="146">
        <f>(Pharmaceutical!$Q27-1)*Pharmaceutical!$W27+(Pharmaceutical!$R27-1)*Pharmaceutical!$X27/(Pharmaceutical!$Q27+Pharmaceutical!$R27-2)</f>
        <v>380.00360386499995</v>
      </c>
      <c r="Y67" s="37">
        <f>ABS(V67)/(SQRT((Pharmaceutical!W27/Pharmaceutical!$Q27)+(Pharmaceutical!X27/Pharmaceutical!$R27)))</f>
        <v>11.041616128400683</v>
      </c>
      <c r="Z67" s="146">
        <f>(Pharmaceutical!W27^2/Pharmaceutical!$Q27+Pharmaceutical!X27^2/Pharmaceutical!$R27)/((Pharmaceutical!W27^2/Pharmaceutical!$Q27)/(Pharmaceutical!$Q27-1)+(Pharmaceutical!X27^2/Pharmaceutical!$R27)/(Pharmaceutical!$R27-1))</f>
        <v>268</v>
      </c>
      <c r="AA67" s="23">
        <f t="shared" si="16"/>
        <v>1.9688551733802446</v>
      </c>
      <c r="AB67" s="26">
        <f t="shared" si="17"/>
        <v>1.3067808280492744E-23</v>
      </c>
      <c r="AC67" s="54">
        <f>Pharmaceutical!Y27-Pharmaceutical!Z27</f>
        <v>3660.66</v>
      </c>
      <c r="AD67" s="69">
        <f>Pharmaceutical!AA27-Pharmaceutical!AB27</f>
        <v>13.608401486988846</v>
      </c>
      <c r="AE67" s="49">
        <f>SQRT(Pharmaceutical!AC27^2+Pharmaceutical!AD27^2)</f>
        <v>43.256976844932936</v>
      </c>
      <c r="AF67" s="146">
        <f>(Pharmaceutical!$Q27-1)*Pharmaceutical!$AC27+(Pharmaceutical!$R27-1)*Pharmaceutical!$AD27/(Pharmaceutical!$Q27+Pharmaceutical!$R27-2)</f>
        <v>11344.685339704998</v>
      </c>
      <c r="AG67" s="37">
        <f>ABS(AD67)/(SQRT((Pharmaceutical!AC27/Pharmaceutical!$Q27)+(Pharmaceutical!AD27/Pharmaceutical!$R27)))</f>
        <v>31.16308311290598</v>
      </c>
      <c r="AH67" s="146">
        <f>(Pharmaceutical!AC27^2/Pharmaceutical!$Q27+Pharmaceutical!AD27^2/Pharmaceutical!$R27)/((Pharmaceutical!AC27^2/Pharmaceutical!$Q27)/(Pharmaceutical!$Q27-1)+(Pharmaceutical!AD27^2/Pharmaceutical!$R27)/(Pharmaceutical!$R27-1))</f>
        <v>268</v>
      </c>
      <c r="AI67" s="23">
        <f t="shared" si="18"/>
        <v>1.9688551733802446</v>
      </c>
      <c r="AJ67" s="26">
        <f t="shared" si="19"/>
        <v>4.285305775487537E-91</v>
      </c>
      <c r="AK67" s="2">
        <f>Pharmaceutical!AG27-Pharmaceutical!AH27</f>
        <v>189</v>
      </c>
      <c r="AL67" s="37">
        <f>Pharmaceutical!AI27-Pharmaceutical!AJ27</f>
        <v>1.1666666666666665</v>
      </c>
      <c r="AM67" s="37">
        <f>SQRT(Pharmaceutical!AK27^2+Pharmaceutical!AL27^2)</f>
        <v>2.0653108162115092</v>
      </c>
      <c r="AN67" s="146">
        <f>(Pharmaceutical!$AE27-1)*Pharmaceutical!$AK27+(Pharmaceutical!$AF27-1)*Pharmaceutical!$AL27/(Pharmaceutical!$AE27+Pharmaceutical!$AF27-2)</f>
        <v>303.70168672</v>
      </c>
      <c r="AO67" s="37">
        <f>ABS(AL67)/(SQRT((Pharmaceutical!AK27/Pharmaceutical!$AE27)+(Pharmaceutical!AL27/Pharmaceutical!$AF27)))</f>
        <v>8.9862699997867139</v>
      </c>
      <c r="AP67" s="146">
        <f>(Pharmaceutical!AK27^2/Pharmaceutical!$AE27+Pharmaceutical!AL27^2/Pharmaceutical!$AF27)/((Pharmaceutical!AK27^2/Pharmaceutical!$AE27)/(Pharmaceutical!$AE27-1)+(Pharmaceutical!AL27^2/Pharmaceutical!$AF27)/(Pharmaceutical!$AF27-1))</f>
        <v>161</v>
      </c>
      <c r="AQ67" s="23">
        <f t="shared" si="20"/>
        <v>1.9748080917517898</v>
      </c>
      <c r="AR67" s="26">
        <f t="shared" si="21"/>
        <v>6.5892941134610756E-16</v>
      </c>
      <c r="AS67" s="54">
        <f>Pharmaceutical!AM27-Pharmaceutical!AN27</f>
        <v>2773.23</v>
      </c>
      <c r="AT67" s="69">
        <f>Pharmaceutical!AO27-Pharmaceutical!AP27</f>
        <v>17.118703703703705</v>
      </c>
      <c r="AU67" s="49">
        <f>SQRT(Pharmaceutical!AQ27^2+Pharmaceutical!AR27^2)</f>
        <v>33.157879253057679</v>
      </c>
      <c r="AV67" s="146">
        <f>(Pharmaceutical!$AE27-1)*Pharmaceutical!$AQ27+(Pharmaceutical!$AF27-1)*Pharmaceutical!$AR27/(Pharmaceutical!$AE27+Pharmaceutical!$AF27-2)</f>
        <v>4981.7538230499995</v>
      </c>
      <c r="AW67" s="37">
        <f>ABS(AT67)/(SQRT((Pharmaceutical!AQ27/Pharmaceutical!$AE27)+(Pharmaceutical!AR27/Pharmaceutical!$AF27)))</f>
        <v>33.258896886477231</v>
      </c>
      <c r="AX67" s="146">
        <f>(Pharmaceutical!AQ27^2/Pharmaceutical!$AE27+Pharmaceutical!AR27^2/Pharmaceutical!$AF27)/((Pharmaceutical!AQ27^2/Pharmaceutical!$AE27)/(Pharmaceutical!$AE27-1)+(Pharmaceutical!AR27^2/Pharmaceutical!$AF27)/(Pharmaceutical!$AF27-1))</f>
        <v>161</v>
      </c>
      <c r="AY67" s="23">
        <f t="shared" si="22"/>
        <v>1.9748080917517898</v>
      </c>
      <c r="AZ67" s="186">
        <f t="shared" si="23"/>
        <v>4.996696715088442E-74</v>
      </c>
    </row>
    <row r="68" spans="1:52" x14ac:dyDescent="0.25">
      <c r="A68" s="261"/>
      <c r="B68" s="5" t="s">
        <v>5</v>
      </c>
      <c r="C68" s="192">
        <f>Pharmaceutical!C28/IncidenceComplications!$G25</f>
        <v>0.49793118466898956</v>
      </c>
      <c r="D68" s="192">
        <f>Pharmaceutical!D28/IncidenceComplications!$G25</f>
        <v>0.27341027874564461</v>
      </c>
      <c r="E68" s="3">
        <f>Pharmaceutical!E28-Pharmaceutical!F28</f>
        <v>4415</v>
      </c>
      <c r="F68" s="37">
        <f>Pharmaceutical!G28-Pharmaceutical!H28</f>
        <v>0.48072735191637633</v>
      </c>
      <c r="G68" s="37">
        <f>SQRT(Pharmaceutical!I28^2+Pharmaceutical!J28^2)</f>
        <v>1.6317325284618611</v>
      </c>
      <c r="H68" s="146">
        <f>(Pharmaceutical!$C28-1)*Pharmaceutical!$I28+(Pharmaceutical!$D28-1)*Pharmaceutical!$J28/(Pharmaceutical!$C28+Pharmaceutical!$D28-2)</f>
        <v>6101.556204198735</v>
      </c>
      <c r="I68" s="37">
        <f>ABS(F68)/(SQRT((Pharmaceutical!I28/Pharmaceutical!$C28)+(Pharmaceutical!J28/Pharmaceutical!$D28)))</f>
        <v>18.630998739963172</v>
      </c>
      <c r="J68" s="146">
        <f>(Pharmaceutical!I28^2/Pharmaceutical!$C28+Pharmaceutical!J28^2/Pharmaceutical!$D28)/((Pharmaceutical!I28^2/Pharmaceutical!$C28)/(Pharmaceutical!$C28-1)+(Pharmaceutical!J28^2/Pharmaceutical!$D28)/(Pharmaceutical!$D28-1))</f>
        <v>3290.3288911651662</v>
      </c>
      <c r="K68" s="23">
        <f t="shared" si="12"/>
        <v>1.9606853004575961</v>
      </c>
      <c r="L68" s="26">
        <f t="shared" si="13"/>
        <v>9.8699914872971757E-74</v>
      </c>
      <c r="M68" s="54">
        <f>Pharmaceutical!K28-Pharmaceutical!L28</f>
        <v>50272.499999999993</v>
      </c>
      <c r="N68" s="69">
        <f>Pharmaceutical!M28-Pharmaceutical!N28</f>
        <v>5.4739220383275251</v>
      </c>
      <c r="O68" s="49">
        <f>SQRT(Pharmaceutical!O28^2+Pharmaceutical!P28^2)</f>
        <v>26.697394946826876</v>
      </c>
      <c r="P68" s="146">
        <f>(Pharmaceutical!$C28-1)*Pharmaceutical!$O28+(Pharmaceutical!$D28-1)*Pharmaceutical!$P28/(Pharmaceutical!$C28+Pharmaceutical!$D28-2)</f>
        <v>101025.11673193045</v>
      </c>
      <c r="Q68" s="37">
        <f>ABS(N68)/(SQRT((Pharmaceutical!O28/Pharmaceutical!$C28)+(Pharmaceutical!P28/Pharmaceutical!$D28)))</f>
        <v>52.674305176181086</v>
      </c>
      <c r="R68" s="146">
        <f>(Pharmaceutical!O28^2/Pharmaceutical!$C28+Pharmaceutical!P28^2/Pharmaceutical!$D28)/((Pharmaceutical!O28^2/Pharmaceutical!$C28)/(Pharmaceutical!$C28-1)+(Pharmaceutical!P28^2/Pharmaceutical!$D28)/(Pharmaceutical!$D28-1))</f>
        <v>3326.3779814545455</v>
      </c>
      <c r="S68" s="23">
        <f t="shared" si="14"/>
        <v>1.9606774902761015</v>
      </c>
      <c r="T68" s="26">
        <f t="shared" si="15"/>
        <v>0</v>
      </c>
      <c r="U68" s="2">
        <f>Pharmaceutical!S28-Pharmaceutical!T28</f>
        <v>380</v>
      </c>
      <c r="V68" s="37">
        <f>Pharmaceutical!U28-Pharmaceutical!V28</f>
        <v>1.2025316455696204</v>
      </c>
      <c r="W68" s="37">
        <f>SQRT(Pharmaceutical!W28^2+Pharmaceutical!X28^2)</f>
        <v>2.1160048197786865</v>
      </c>
      <c r="X68" s="146">
        <f>(Pharmaceutical!$Q28-1)*Pharmaceutical!$W28+(Pharmaceutical!$R28-1)*Pharmaceutical!$X28/(Pharmaceutical!$Q28+Pharmaceutical!$R28-2)</f>
        <v>574.18615412500003</v>
      </c>
      <c r="Y68" s="37">
        <f>ABS(V68)/(SQRT((Pharmaceutical!W28/Pharmaceutical!$Q28)+(Pharmaceutical!X28/Pharmaceutical!$R28)))</f>
        <v>12.555782972676203</v>
      </c>
      <c r="Z68" s="146">
        <f>(Pharmaceutical!W28^2/Pharmaceutical!$Q28+Pharmaceutical!X28^2/Pharmaceutical!$R28)/((Pharmaceutical!W28^2/Pharmaceutical!$Q28)/(Pharmaceutical!$Q28-1)+(Pharmaceutical!X28^2/Pharmaceutical!$R28)/(Pharmaceutical!$R28-1))</f>
        <v>315</v>
      </c>
      <c r="AA68" s="23">
        <f t="shared" si="16"/>
        <v>1.9675235316905744</v>
      </c>
      <c r="AB68" s="26">
        <f t="shared" si="17"/>
        <v>1.3564989462168764E-29</v>
      </c>
      <c r="AC68" s="54">
        <f>Pharmaceutical!Y28-Pharmaceutical!Z28</f>
        <v>5115.76</v>
      </c>
      <c r="AD68" s="69">
        <f>Pharmaceutical!AA28-Pharmaceutical!AB28</f>
        <v>16.189113924050634</v>
      </c>
      <c r="AE68" s="49">
        <f>SQRT(Pharmaceutical!AC28^2+Pharmaceutical!AD28^2)</f>
        <v>40.906103673082548</v>
      </c>
      <c r="AF68" s="146">
        <f>(Pharmaceutical!$Q28-1)*Pharmaceutical!$AC28+(Pharmaceutical!$R28-1)*Pharmaceutical!$AD28/(Pharmaceutical!$Q28+Pharmaceutical!$R28-2)</f>
        <v>12083.70172245</v>
      </c>
      <c r="AG68" s="37">
        <f>ABS(AD68)/(SQRT((Pharmaceutical!AC28/Pharmaceutical!$Q28)+(Pharmaceutical!AD28/Pharmaceutical!$R28)))</f>
        <v>39.679036994711545</v>
      </c>
      <c r="AH68" s="146">
        <f>(Pharmaceutical!AC28^2/Pharmaceutical!$Q28+Pharmaceutical!AD28^2/Pharmaceutical!$R28)/((Pharmaceutical!AC28^2/Pharmaceutical!$Q28)/(Pharmaceutical!$Q28-1)+(Pharmaceutical!AD28^2/Pharmaceutical!$R28)/(Pharmaceutical!$R28-1))</f>
        <v>315</v>
      </c>
      <c r="AI68" s="23">
        <f t="shared" si="18"/>
        <v>1.9675235316905744</v>
      </c>
      <c r="AJ68" s="26">
        <f t="shared" si="19"/>
        <v>1.4247086504015548E-124</v>
      </c>
      <c r="AK68" s="2">
        <f>Pharmaceutical!AG28-Pharmaceutical!AH28</f>
        <v>437</v>
      </c>
      <c r="AL68" s="37">
        <f>Pharmaceutical!AI28-Pharmaceutical!AJ28</f>
        <v>1.0581113801452786</v>
      </c>
      <c r="AM68" s="37">
        <f>SQRT(Pharmaceutical!AK28^2+Pharmaceutical!AL28^2)</f>
        <v>1.9407131033828267</v>
      </c>
      <c r="AN68" s="146">
        <f>(Pharmaceutical!$AE28-1)*Pharmaceutical!$AK28+(Pharmaceutical!$AF28-1)*Pharmaceutical!$AL28/(Pharmaceutical!$AE28+Pharmaceutical!$AF28-2)</f>
        <v>691.40902362999998</v>
      </c>
      <c r="AO68" s="37">
        <f>ABS(AL68)/(SQRT((Pharmaceutical!AK28/Pharmaceutical!$AE28)+(Pharmaceutical!AL28/Pharmaceutical!$AF28)))</f>
        <v>13.200063552640861</v>
      </c>
      <c r="AP68" s="146">
        <f>(Pharmaceutical!AK28^2/Pharmaceutical!$AE28+Pharmaceutical!AL28^2/Pharmaceutical!$AF28)/((Pharmaceutical!AK28^2/Pharmaceutical!$AE28)/(Pharmaceutical!$AE28-1)+(Pharmaceutical!AL28^2/Pharmaceutical!$AF28)/(Pharmaceutical!$AF28-1))</f>
        <v>411.99999999999994</v>
      </c>
      <c r="AQ68" s="23">
        <f t="shared" si="20"/>
        <v>1.965752679860955</v>
      </c>
      <c r="AR68" s="26">
        <f t="shared" si="21"/>
        <v>2.0535327664887843E-33</v>
      </c>
      <c r="AS68" s="54">
        <f>Pharmaceutical!AM28-Pharmaceutical!AN28</f>
        <v>6151.54</v>
      </c>
      <c r="AT68" s="69">
        <f>Pharmaceutical!AO28-Pharmaceutical!AP28</f>
        <v>14.894769975786923</v>
      </c>
      <c r="AU68" s="49">
        <f>SQRT(Pharmaceutical!AQ28^2+Pharmaceutical!AR28^2)</f>
        <v>35.339834849572178</v>
      </c>
      <c r="AV68" s="146">
        <f>(Pharmaceutical!$AE28-1)*Pharmaceutical!$AQ28+(Pharmaceutical!$AF28-1)*Pharmaceutical!$AR28/(Pharmaceutical!$AE28+Pharmaceutical!$AF28-2)</f>
        <v>13547.846841850002</v>
      </c>
      <c r="AW68" s="37">
        <f>ABS(AT68)/(SQRT((Pharmaceutical!AQ28/Pharmaceutical!$AE28)+(Pharmaceutical!AR28/Pharmaceutical!$AF28)))</f>
        <v>44.701538557794926</v>
      </c>
      <c r="AX68" s="146">
        <f>(Pharmaceutical!AQ28^2/Pharmaceutical!$AE28+Pharmaceutical!AR28^2/Pharmaceutical!$AF28)/((Pharmaceutical!AQ28^2/Pharmaceutical!$AE28)/(Pharmaceutical!$AE28-1)+(Pharmaceutical!AR28^2/Pharmaceutical!$AF28)/(Pharmaceutical!$AF28-1))</f>
        <v>412</v>
      </c>
      <c r="AY68" s="23">
        <f t="shared" si="22"/>
        <v>1.9657385889937773</v>
      </c>
      <c r="AZ68" s="186">
        <f t="shared" si="23"/>
        <v>3.9772916187157768E-160</v>
      </c>
    </row>
    <row r="69" spans="1:52" x14ac:dyDescent="0.25">
      <c r="A69" s="261"/>
      <c r="B69" s="6" t="s">
        <v>6</v>
      </c>
      <c r="C69" s="195">
        <f>Pharmaceutical!C29/IncidenceComplications!$G26</f>
        <v>0.55158570855078282</v>
      </c>
      <c r="D69" s="196">
        <f>Pharmaceutical!D29/IncidenceComplications!$G26</f>
        <v>0.34042553191489361</v>
      </c>
      <c r="E69" s="10">
        <f>Pharmaceutical!E29-Pharmaceutical!F29</f>
        <v>1190</v>
      </c>
      <c r="F69" s="39">
        <f>Pharmaceutical!G29-Pharmaceutical!H29</f>
        <v>0.47771979124849451</v>
      </c>
      <c r="G69" s="39">
        <f>SQRT(Pharmaceutical!I29^2+Pharmaceutical!J29^2)</f>
        <v>2.0875200391993136</v>
      </c>
      <c r="H69" s="182">
        <f>(Pharmaceutical!$C29-1)*Pharmaceutical!$I29+(Pharmaceutical!$D29-1)*Pharmaceutical!$J29/(Pharmaceutical!$C29+Pharmaceutical!$D29-2)</f>
        <v>2135.5943580710587</v>
      </c>
      <c r="I69" s="39">
        <f>ABS(F69)/(SQRT((Pharmaceutical!I29/Pharmaceutical!$C29)+(Pharmaceutical!J29/Pharmaceutical!$D29)))</f>
        <v>9.0701192851452301</v>
      </c>
      <c r="J69" s="182">
        <f>(Pharmaceutical!I29^2/Pharmaceutical!$C29+Pharmaceutical!J29^2/Pharmaceutical!$D29)/((Pharmaceutical!I29^2/Pharmaceutical!$C29)/(Pharmaceutical!$C29-1)+(Pharmaceutical!J29^2/Pharmaceutical!$D29)/(Pharmaceutical!$D29-1))</f>
        <v>1016.3092254955498</v>
      </c>
      <c r="K69" s="24">
        <f t="shared" si="12"/>
        <v>1.9623016339078017</v>
      </c>
      <c r="L69" s="27">
        <f t="shared" si="13"/>
        <v>6.0030147235073085E-19</v>
      </c>
      <c r="M69" s="55">
        <f>Pharmaceutical!K29-Pharmaceutical!L29</f>
        <v>13767.940000000002</v>
      </c>
      <c r="N69" s="75">
        <f>Pharmaceutical!M29-Pharmaceutical!N29</f>
        <v>5.5270734644720996</v>
      </c>
      <c r="O69" s="50">
        <f>SQRT(Pharmaceutical!O29^2+Pharmaceutical!P29^2)</f>
        <v>42.021592010098743</v>
      </c>
      <c r="P69" s="182">
        <f>(Pharmaceutical!$C29-1)*Pharmaceutical!$O29+(Pharmaceutical!$D29-1)*Pharmaceutical!$P29/(Pharmaceutical!$C29+Pharmaceutical!$D29-2)</f>
        <v>46226.211054422296</v>
      </c>
      <c r="Q69" s="39">
        <f>ABS(N69)/(SQRT((Pharmaceutical!O29/Pharmaceutical!$C29)+(Pharmaceutical!P29/Pharmaceutical!$D29)))</f>
        <v>23.749164603803532</v>
      </c>
      <c r="R69" s="182">
        <f>(Pharmaceutical!O29^2/Pharmaceutical!$C29+Pharmaceutical!P29^2/Pharmaceutical!$D29)/((Pharmaceutical!O29^2/Pharmaceutical!$C29)/(Pharmaceutical!$C29-1)+(Pharmaceutical!P29^2/Pharmaceutical!$D29)/(Pharmaceutical!$D29-1))</f>
        <v>1060.2367046737195</v>
      </c>
      <c r="S69" s="24">
        <f t="shared" si="14"/>
        <v>1.9622044904276705</v>
      </c>
      <c r="T69" s="27">
        <f t="shared" si="15"/>
        <v>2.6082449582307873E-100</v>
      </c>
      <c r="U69" s="8">
        <f>Pharmaceutical!S29-Pharmaceutical!T29</f>
        <v>114</v>
      </c>
      <c r="V69" s="39">
        <f>Pharmaceutical!U29-Pharmaceutical!V29</f>
        <v>1.0178571428571428</v>
      </c>
      <c r="W69" s="39">
        <f>SQRT(Pharmaceutical!W29^2+Pharmaceutical!X29^2)</f>
        <v>1.7286573140058381</v>
      </c>
      <c r="X69" s="182">
        <f>(Pharmaceutical!$Q29-1)*Pharmaceutical!$W29+(Pharmaceutical!$R29-1)*Pharmaceutical!$X29/(Pharmaceutical!$Q29+Pharmaceutical!$R29-2)</f>
        <v>162.24001985499999</v>
      </c>
      <c r="Y69" s="39">
        <f>ABS(V69)/(SQRT((Pharmaceutical!W29/Pharmaceutical!$Q29)+(Pharmaceutical!X29/Pharmaceutical!$R29)))</f>
        <v>6.9721583415840316</v>
      </c>
      <c r="Z69" s="182">
        <f>(Pharmaceutical!W29^2/Pharmaceutical!$Q29+Pharmaceutical!X29^2/Pharmaceutical!$R29)/((Pharmaceutical!W29^2/Pharmaceutical!$Q29)/(Pharmaceutical!$Q29-1)+(Pharmaceutical!X29^2/Pharmaceutical!$R29)/(Pharmaceutical!$R29-1))</f>
        <v>111</v>
      </c>
      <c r="AA69" s="24">
        <f t="shared" si="16"/>
        <v>1.9815667570749009</v>
      </c>
      <c r="AB69" s="27">
        <f t="shared" si="17"/>
        <v>2.3633393418569342E-10</v>
      </c>
      <c r="AC69" s="55">
        <f>Pharmaceutical!Y29-Pharmaceutical!Z29</f>
        <v>1328.0100000000002</v>
      </c>
      <c r="AD69" s="75">
        <f>Pharmaceutical!AA29-Pharmaceutical!AB29</f>
        <v>11.857232142857146</v>
      </c>
      <c r="AE69" s="50">
        <f>SQRT(Pharmaceutical!AC29^2+Pharmaceutical!AD29^2)</f>
        <v>25.121231209339214</v>
      </c>
      <c r="AF69" s="182">
        <f>(Pharmaceutical!$Q29-1)*Pharmaceutical!$AC29+(Pharmaceutical!$R29-1)*Pharmaceutical!$AD29/(Pharmaceutical!$Q29+Pharmaceutical!$R29-2)</f>
        <v>2147.1464852499998</v>
      </c>
      <c r="AG69" s="39">
        <f>ABS(AD69)/(SQRT((Pharmaceutical!AC29/Pharmaceutical!$Q29)+(Pharmaceutical!AD29/Pharmaceutical!$R29)))</f>
        <v>21.094754497185257</v>
      </c>
      <c r="AH69" s="182">
        <f>(Pharmaceutical!AC29^2/Pharmaceutical!$Q29+Pharmaceutical!AD29^2/Pharmaceutical!$R29)/((Pharmaceutical!AC29^2/Pharmaceutical!$Q29)/(Pharmaceutical!$Q29-1)+(Pharmaceutical!AD29^2/Pharmaceutical!$R29)/(Pharmaceutical!$R29-1))</f>
        <v>111</v>
      </c>
      <c r="AI69" s="24">
        <f t="shared" si="18"/>
        <v>1.9815667570749009</v>
      </c>
      <c r="AJ69" s="27">
        <f t="shared" si="19"/>
        <v>1.2301867774281763E-40</v>
      </c>
      <c r="AK69" s="8">
        <f>Pharmaceutical!AG29-Pharmaceutical!AH29</f>
        <v>177</v>
      </c>
      <c r="AL69" s="39">
        <f>Pharmaceutical!AI29-Pharmaceutical!AJ29</f>
        <v>0.79017857142857151</v>
      </c>
      <c r="AM69" s="39">
        <f>SQRT(Pharmaceutical!AK29^2+Pharmaceutical!AL29^2)</f>
        <v>2.9841395510727158</v>
      </c>
      <c r="AN69" s="182">
        <f>(Pharmaceutical!$AE29-1)*Pharmaceutical!$AK29+(Pharmaceutical!$AF29-1)*Pharmaceutical!$AL29/(Pharmaceutical!$AE29+Pharmaceutical!$AF29-2)</f>
        <v>490.62668471000001</v>
      </c>
      <c r="AO69" s="39">
        <f>ABS(AL69)/(SQRT((Pharmaceutical!AK29/Pharmaceutical!$AE29)+(Pharmaceutical!AL29/Pharmaceutical!$AF29)))</f>
        <v>5.7592794165809797</v>
      </c>
      <c r="AP69" s="182">
        <f>(Pharmaceutical!AK29^2/Pharmaceutical!$AE29+Pharmaceutical!AL29^2/Pharmaceutical!$AF29)/((Pharmaceutical!AK29^2/Pharmaceutical!$AE29)/(Pharmaceutical!$AE29-1)+(Pharmaceutical!AL29^2/Pharmaceutical!$AF29)/(Pharmaceutical!$AF29-1))</f>
        <v>222.99999999999997</v>
      </c>
      <c r="AQ69" s="24">
        <f t="shared" si="20"/>
        <v>1.9707073953204004</v>
      </c>
      <c r="AR69" s="27">
        <f t="shared" si="21"/>
        <v>2.7952004593868811E-8</v>
      </c>
      <c r="AS69" s="55">
        <f>Pharmaceutical!AM29-Pharmaceutical!AN29</f>
        <v>2566.8000000000002</v>
      </c>
      <c r="AT69" s="75">
        <f>Pharmaceutical!AO29-Pharmaceutical!AP29</f>
        <v>11.45892857142857</v>
      </c>
      <c r="AU69" s="50">
        <f>SQRT(Pharmaceutical!AQ29^2+Pharmaceutical!AR29^2)</f>
        <v>47.441913794669027</v>
      </c>
      <c r="AV69" s="182">
        <f>(Pharmaceutical!$AE29-1)*Pharmaceutical!$AQ29+(Pharmaceutical!$AF29-1)*Pharmaceutical!$AR29/(Pharmaceutical!$AE29+Pharmaceutical!$AF29-2)</f>
        <v>7844.4978507999995</v>
      </c>
      <c r="AW69" s="39">
        <f>ABS(AT69)/(SQRT((Pharmaceutical!AQ29/Pharmaceutical!$AE29)+(Pharmaceutical!AR29/Pharmaceutical!$AF29)))</f>
        <v>20.949602903743454</v>
      </c>
      <c r="AX69" s="182">
        <f>(Pharmaceutical!AQ29^2/Pharmaceutical!$AE29+Pharmaceutical!AR29^2/Pharmaceutical!$AF29)/((Pharmaceutical!AQ29^2/Pharmaceutical!$AE29)/(Pharmaceutical!$AE29-1)+(Pharmaceutical!AR29^2/Pharmaceutical!$AF29)/(Pharmaceutical!$AF29-1))</f>
        <v>223</v>
      </c>
      <c r="AY69" s="24">
        <f t="shared" si="22"/>
        <v>1.9706589608358136</v>
      </c>
      <c r="AZ69" s="187">
        <f t="shared" si="23"/>
        <v>1.3621259601240985E-54</v>
      </c>
    </row>
    <row r="70" spans="1:52" ht="15.75" thickBot="1" x14ac:dyDescent="0.3">
      <c r="A70" s="262"/>
      <c r="B70" s="15" t="s">
        <v>14</v>
      </c>
      <c r="C70" s="193">
        <f>Pharmaceutical!C30/IncidenceComplications!$G27</f>
        <v>0.52887040396442631</v>
      </c>
      <c r="D70" s="194">
        <f>Pharmaceutical!D30/IncidenceComplications!$G27</f>
        <v>0.29684527233308261</v>
      </c>
      <c r="E70" s="16">
        <f>Pharmaceutical!E30-Pharmaceutical!F30</f>
        <v>13356</v>
      </c>
      <c r="F70" s="40">
        <f>Pharmaceutical!G30-Pharmaceutical!H30</f>
        <v>0.59094730321667177</v>
      </c>
      <c r="G70" s="40">
        <f>SQRT(Pharmaceutical!I30^2+Pharmaceutical!J30^2)</f>
        <v>2.664005206817015</v>
      </c>
      <c r="H70" s="183">
        <f>(Pharmaceutical!$C30-1)*Pharmaceutical!$I30+(Pharmaceutical!$D30-1)*Pharmaceutical!$J30/(Pharmaceutical!$C30+Pharmaceutical!$D30-2)</f>
        <v>25008.75767018769</v>
      </c>
      <c r="I70" s="40">
        <f>ABS(F70)/(SQRT((Pharmaceutical!I30/Pharmaceutical!$C30)+(Pharmaceutical!J30/Pharmaceutical!$D30)))</f>
        <v>28.807013091377009</v>
      </c>
      <c r="J70" s="183">
        <f>(Pharmaceutical!I30^2/Pharmaceutical!$C30+Pharmaceutical!J30^2/Pharmaceutical!$D30)/((Pharmaceutical!I30^2/Pharmaceutical!$C30)/(Pharmaceutical!$C30-1)+(Pharmaceutical!J30^2/Pharmaceutical!$D30)/(Pharmaceutical!$D30-1))</f>
        <v>8472.8364518878625</v>
      </c>
      <c r="K70" s="25">
        <f t="shared" si="12"/>
        <v>1.960244036997622</v>
      </c>
      <c r="L70" s="28">
        <f t="shared" si="13"/>
        <v>3.5658823414967567E-174</v>
      </c>
      <c r="M70" s="74">
        <f>Pharmaceutical!K30-Pharmaceutical!L30</f>
        <v>124588.36000000002</v>
      </c>
      <c r="N70" s="77">
        <f>Pharmaceutical!M30-Pharmaceutical!N30</f>
        <v>5.5125153754258669</v>
      </c>
      <c r="O70" s="57">
        <f>SQRT(Pharmaceutical!O30^2+Pharmaceutical!P30^2)</f>
        <v>27.238977028452684</v>
      </c>
      <c r="P70" s="183">
        <f>(Pharmaceutical!$C30-1)*Pharmaceutical!$O30+(Pharmaceutical!$D30-1)*Pharmaceutical!$P30/(Pharmaceutical!$C30+Pharmaceutical!$D30-2)</f>
        <v>256048.58484213057</v>
      </c>
      <c r="Q70" s="40">
        <f>ABS(N70)/(SQRT((Pharmaceutical!O30/Pharmaceutical!$C30)+(Pharmaceutical!P30/Pharmaceutical!$D30)))</f>
        <v>84.066452214235312</v>
      </c>
      <c r="R70" s="183">
        <f>(Pharmaceutical!O30^2/Pharmaceutical!$C30+Pharmaceutical!P30^2/Pharmaceutical!$D30)/((Pharmaceutical!O30^2/Pharmaceutical!$C30)/(Pharmaceutical!$C30-1)+(Pharmaceutical!P30^2/Pharmaceutical!$D30)/(Pharmaceutical!$D30-1))</f>
        <v>8480.9499664814593</v>
      </c>
      <c r="S70" s="25">
        <f t="shared" si="14"/>
        <v>1.9602437727600721</v>
      </c>
      <c r="T70" s="28">
        <f t="shared" si="15"/>
        <v>0</v>
      </c>
      <c r="U70" s="35">
        <f>Pharmaceutical!S30-Pharmaceutical!T30</f>
        <v>2861</v>
      </c>
      <c r="V70" s="40">
        <f>Pharmaceutical!U30-Pharmaceutical!V30</f>
        <v>1.8327994875080078</v>
      </c>
      <c r="W70" s="40">
        <f>SQRT(Pharmaceutical!W30^2+Pharmaceutical!X30^2)</f>
        <v>2.9366353674489285</v>
      </c>
      <c r="X70" s="183">
        <f>(Pharmaceutical!$Q30-1)*Pharmaceutical!$W30+(Pharmaceutical!$R30-1)*Pharmaceutical!$X30/(Pharmaceutical!$Q30+Pharmaceutical!$R30-2)</f>
        <v>3768.9436531816687</v>
      </c>
      <c r="Y70" s="40">
        <f>ABS(V70)/(SQRT((Pharmaceutical!W30/Pharmaceutical!$Q30)+(Pharmaceutical!X30/Pharmaceutical!$R30)))</f>
        <v>35.825160551948031</v>
      </c>
      <c r="Z70" s="183">
        <f>(Pharmaceutical!W30^2/Pharmaceutical!$Q30+Pharmaceutical!X30^2/Pharmaceutical!$R30)/((Pharmaceutical!W30^2/Pharmaceutical!$Q30)/(Pharmaceutical!$Q30-1)+(Pharmaceutical!X30^2/Pharmaceutical!$R30)/(Pharmaceutical!$R30-1))</f>
        <v>1559.9999999999998</v>
      </c>
      <c r="AA70" s="25">
        <f t="shared" si="16"/>
        <v>1.9614868086175408</v>
      </c>
      <c r="AB70" s="28">
        <f t="shared" si="17"/>
        <v>1.408276432725289E-205</v>
      </c>
      <c r="AC70" s="74">
        <f>Pharmaceutical!Y30-Pharmaceutical!Z30</f>
        <v>23982.850000000002</v>
      </c>
      <c r="AD70" s="77">
        <f>Pharmaceutical!AA30-Pharmaceutical!AB30</f>
        <v>15.363773222293402</v>
      </c>
      <c r="AE70" s="57">
        <f>SQRT(Pharmaceutical!AC30^2+Pharmaceutical!AD30^2)</f>
        <v>31.693360358385213</v>
      </c>
      <c r="AF70" s="183">
        <f>(Pharmaceutical!$Q30-1)*Pharmaceutical!$AC30+(Pharmaceutical!$R30-1)*Pharmaceutical!$AD30/(Pharmaceutical!$Q30+Pharmaceutical!$R30-2)</f>
        <v>44617.415277232409</v>
      </c>
      <c r="AG70" s="40">
        <f>ABS(AD70)/(SQRT((Pharmaceutical!AC30/Pharmaceutical!$Q30)+(Pharmaceutical!AD30/Pharmaceutical!$R30)))</f>
        <v>93.375159290940033</v>
      </c>
      <c r="AH70" s="183">
        <f>(Pharmaceutical!AC30^2/Pharmaceutical!$Q30+Pharmaceutical!AD30^2/Pharmaceutical!$R30)/((Pharmaceutical!AC30^2/Pharmaceutical!$Q30)/(Pharmaceutical!$Q30-1)+(Pharmaceutical!AD30^2/Pharmaceutical!$R30)/(Pharmaceutical!$R30-1))</f>
        <v>1559.9999999999998</v>
      </c>
      <c r="AI70" s="25">
        <f t="shared" si="18"/>
        <v>1.9614868086175408</v>
      </c>
      <c r="AJ70" s="28">
        <f t="shared" si="19"/>
        <v>0</v>
      </c>
      <c r="AK70" s="35">
        <f>Pharmaceutical!AG30-Pharmaceutical!AH30</f>
        <v>1598</v>
      </c>
      <c r="AL70" s="40">
        <f>Pharmaceutical!AI30-Pharmaceutical!AJ30</f>
        <v>1.3693230505569836</v>
      </c>
      <c r="AM70" s="40">
        <f>SQRT(Pharmaceutical!AK30^2+Pharmaceutical!AL30^2)</f>
        <v>3.2716666164123054</v>
      </c>
      <c r="AN70" s="183">
        <f>(Pharmaceutical!$AE30-1)*Pharmaceutical!$AK30+(Pharmaceutical!$AF30-1)*Pharmaceutical!$AL30/(Pharmaceutical!$AE30+Pharmaceutical!$AF30-2)</f>
        <v>3219.0619853543708</v>
      </c>
      <c r="AO70" s="40">
        <f>ABS(AL70)/(SQRT((Pharmaceutical!AK30/Pharmaceutical!$AE30)+(Pharmaceutical!AL30/Pharmaceutical!$AF30)))</f>
        <v>22.010425598829698</v>
      </c>
      <c r="AP70" s="183">
        <f>(Pharmaceutical!AK30^2/Pharmaceutical!$AE30+Pharmaceutical!AL30^2/Pharmaceutical!$AF30)/((Pharmaceutical!AK30^2/Pharmaceutical!$AE30)/(Pharmaceutical!$AE30-1)+(Pharmaceutical!AL30^2/Pharmaceutical!$AF30)/(Pharmaceutical!$AF30-1))</f>
        <v>1166</v>
      </c>
      <c r="AQ70" s="25">
        <f t="shared" si="20"/>
        <v>1.9620006001309493</v>
      </c>
      <c r="AR70" s="28">
        <f t="shared" si="21"/>
        <v>4.5237422996396689E-90</v>
      </c>
      <c r="AS70" s="74">
        <f>Pharmaceutical!AM30-Pharmaceutical!AN30</f>
        <v>18093.000000000004</v>
      </c>
      <c r="AT70" s="77">
        <f>Pharmaceutical!AO30-Pharmaceutical!AP30</f>
        <v>15.503856041131108</v>
      </c>
      <c r="AU70" s="57">
        <f>SQRT(Pharmaceutical!AQ30^2+Pharmaceutical!AR30^2)</f>
        <v>35.119901687942324</v>
      </c>
      <c r="AV70" s="183">
        <f>(Pharmaceutical!$AE30-1)*Pharmaceutical!$AQ30+(Pharmaceutical!$AF30-1)*Pharmaceutical!$AR30/(Pharmaceutical!$AE30+Pharmaceutical!$AF30-2)</f>
        <v>35223.733095514806</v>
      </c>
      <c r="AW70" s="40">
        <f>ABS(AT70)/(SQRT((Pharmaceutical!AQ30/Pharmaceutical!$AE30)+(Pharmaceutical!AR30/Pharmaceutical!$AF30)))</f>
        <v>76.345977501988671</v>
      </c>
      <c r="AX70" s="183">
        <f>(Pharmaceutical!AQ30^2/Pharmaceutical!$AE30+Pharmaceutical!AR30^2/Pharmaceutical!$AF30)/((Pharmaceutical!AQ30^2/Pharmaceutical!$AE30)/(Pharmaceutical!$AE30-1)+(Pharmaceutical!AR30^2/Pharmaceutical!$AF30)/(Pharmaceutical!$AF30-1))</f>
        <v>1166</v>
      </c>
      <c r="AY70" s="25">
        <f t="shared" si="22"/>
        <v>1.9620006001309493</v>
      </c>
      <c r="AZ70" s="188">
        <f t="shared" si="23"/>
        <v>0</v>
      </c>
    </row>
    <row r="71" spans="1:52" ht="16.5" thickTop="1" thickBot="1" x14ac:dyDescent="0.3">
      <c r="A71" s="259" t="s">
        <v>14</v>
      </c>
      <c r="B71" s="259"/>
      <c r="C71" s="197">
        <f>Pharmaceutical!C31/IncidenceComplications!$G28</f>
        <v>0.57395702973004237</v>
      </c>
      <c r="D71" s="198">
        <f>Pharmaceutical!D31/IncidenceComplications!$G28</f>
        <v>0.3240332740905888</v>
      </c>
      <c r="E71" s="81">
        <f>Pharmaceutical!E31-Pharmaceutical!F31</f>
        <v>62281</v>
      </c>
      <c r="F71" s="83">
        <f>Pharmaceutical!G31-Pharmaceutical!H31</f>
        <v>0.65497586471621327</v>
      </c>
      <c r="G71" s="83">
        <f>SQRT(Pharmaceutical!I31^2+Pharmaceutical!J31^2)</f>
        <v>2.78874092533463</v>
      </c>
      <c r="H71" s="184">
        <f>(Pharmaceutical!$C31-1)*Pharmaceutical!$I31+(Pharmaceutical!$D31-1)*Pharmaceutical!$J31/(Pharmaceutical!$C31+Pharmaceutical!$D31-2)</f>
        <v>118277.72345046971</v>
      </c>
      <c r="I71" s="83">
        <f>ABS(F71)/(SQRT((Pharmaceutical!I31/Pharmaceutical!$C31)+(Pharmaceutical!J31/Pharmaceutical!$D31)))</f>
        <v>66.616102031445024</v>
      </c>
      <c r="J71" s="184">
        <f>(Pharmaceutical!I31^2/Pharmaceutical!$C31+Pharmaceutical!J31^2/Pharmaceutical!$D31)/((Pharmaceutical!I31^2/Pharmaceutical!$C31)/(Pharmaceutical!$C31-1)+(Pharmaceutical!J31^2/Pharmaceutical!$D31)/(Pharmaceutical!$D31-1))</f>
        <v>38583.159978764314</v>
      </c>
      <c r="K71" s="123">
        <f t="shared" si="12"/>
        <v>1.9600254713186038</v>
      </c>
      <c r="L71" s="147">
        <f t="shared" si="13"/>
        <v>0</v>
      </c>
      <c r="M71" s="84">
        <f>Pharmaceutical!K31-Pharmaceutical!L31</f>
        <v>592449.56785999995</v>
      </c>
      <c r="N71" s="86">
        <f>Pharmaceutical!M31-Pharmaceutical!N31</f>
        <v>6.2304742699996849</v>
      </c>
      <c r="O71" s="85">
        <f>SQRT(Pharmaceutical!O31^2+Pharmaceutical!P31^2)</f>
        <v>39.163849953020744</v>
      </c>
      <c r="P71" s="184">
        <f>(Pharmaceutical!$C31-1)*Pharmaceutical!$O31+(Pharmaceutical!$D31-1)*Pharmaceutical!$P31/(Pharmaceutical!$C31+Pharmaceutical!$D31-2)</f>
        <v>1572449.0039071587</v>
      </c>
      <c r="Q71" s="83">
        <f>ABS(N71)/(SQRT((Pharmaceutical!O31/Pharmaceutical!$C31)+(Pharmaceutical!P31/Pharmaceutical!$D31)))</f>
        <v>167.18391812784569</v>
      </c>
      <c r="R71" s="184">
        <f>(Pharmaceutical!O31^2/Pharmaceutical!$C31+Pharmaceutical!P31^2/Pharmaceutical!$D31)/((Pharmaceutical!O31^2/Pharmaceutical!$C31)/(Pharmaceutical!$C31-1)+(Pharmaceutical!P31^2/Pharmaceutical!$D31)/(Pharmaceutical!$D31-1))</f>
        <v>37304.87574013343</v>
      </c>
      <c r="S71" s="123">
        <f t="shared" si="14"/>
        <v>1.9600275795124382</v>
      </c>
      <c r="T71" s="147">
        <f t="shared" si="15"/>
        <v>0</v>
      </c>
      <c r="U71" s="101">
        <f>Pharmaceutical!S31-Pharmaceutical!T31</f>
        <v>12704</v>
      </c>
      <c r="V71" s="83">
        <f>Pharmaceutical!U31-Pharmaceutical!V31</f>
        <v>1.9659548127514701</v>
      </c>
      <c r="W71" s="83">
        <f>SQRT(Pharmaceutical!W31^2+Pharmaceutical!X31^2)</f>
        <v>3.0967247305431855</v>
      </c>
      <c r="X71" s="184">
        <f>(Pharmaceutical!$Q31-1)*Pharmaceutical!$W31+(Pharmaceutical!$R31-1)*Pharmaceutical!$X31/(Pharmaceutical!$Q31+Pharmaceutical!$R31-2)</f>
        <v>16215.701597637219</v>
      </c>
      <c r="Y71" s="83">
        <f>ABS(V71)/(SQRT((Pharmaceutical!W31/Pharmaceutical!$Q31)+(Pharmaceutical!X31/Pharmaceutical!$R31)))</f>
        <v>76.001295170204628</v>
      </c>
      <c r="Z71" s="184">
        <f>(Pharmaceutical!W31^2/Pharmaceutical!$Q31+Pharmaceutical!X31^2/Pharmaceutical!$R31)/((Pharmaceutical!W31^2/Pharmaceutical!$Q31)/(Pharmaceutical!$Q31-1)+(Pharmaceutical!X31^2/Pharmaceutical!$R31)/(Pharmaceutical!$R31-1))</f>
        <v>6460.9999999999991</v>
      </c>
      <c r="AA71" s="123">
        <f t="shared" si="16"/>
        <v>1.9603312768328214</v>
      </c>
      <c r="AB71" s="147">
        <f t="shared" si="17"/>
        <v>0</v>
      </c>
      <c r="AC71" s="84">
        <f>Pharmaceutical!Y31-Pharmaceutical!Z31</f>
        <v>99878.642022000029</v>
      </c>
      <c r="AD71" s="86">
        <f>Pharmaceutical!AA31-Pharmaceutical!AB31</f>
        <v>15.456304862581248</v>
      </c>
      <c r="AE71" s="85">
        <f>SQRT(Pharmaceutical!AC31^2+Pharmaceutical!AD31^2)</f>
        <v>31.42398214352124</v>
      </c>
      <c r="AF71" s="184">
        <f>(Pharmaceutical!$Q31-1)*Pharmaceutical!$AC31+(Pharmaceutical!$R31-1)*Pharmaceutical!$AD31/(Pharmaceutical!$Q31+Pharmaceutical!$R31-2)</f>
        <v>171458.22030564048</v>
      </c>
      <c r="AG71" s="83">
        <f>ABS(AD71)/(SQRT((Pharmaceutical!AC31/Pharmaceutical!$Q31)+(Pharmaceutical!AD31/Pharmaceutical!$R31)))</f>
        <v>188.67140791882852</v>
      </c>
      <c r="AH71" s="184">
        <f>(Pharmaceutical!AC31^2/Pharmaceutical!$Q31+Pharmaceutical!AD31^2/Pharmaceutical!$R31)/((Pharmaceutical!AC31^2/Pharmaceutical!$Q31)/(Pharmaceutical!$Q31-1)+(Pharmaceutical!AD31^2/Pharmaceutical!$R31)/(Pharmaceutical!$R31-1))</f>
        <v>6461</v>
      </c>
      <c r="AI71" s="123">
        <f t="shared" si="18"/>
        <v>1.9603312199745577</v>
      </c>
      <c r="AJ71" s="147">
        <f t="shared" si="19"/>
        <v>0</v>
      </c>
      <c r="AK71" s="101">
        <f>Pharmaceutical!AG31-Pharmaceutical!AH31</f>
        <v>7397</v>
      </c>
      <c r="AL71" s="83">
        <f>Pharmaceutical!AI31-Pharmaceutical!AJ31</f>
        <v>1.5308360927152318</v>
      </c>
      <c r="AM71" s="83">
        <f>SQRT(Pharmaceutical!AK31^2+Pharmaceutical!AL31^2)</f>
        <v>3.2887872076098708</v>
      </c>
      <c r="AN71" s="184">
        <f>(Pharmaceutical!$AE31-1)*Pharmaceutical!$AK31+(Pharmaceutical!$AF31-1)*Pharmaceutical!$AL31/(Pharmaceutical!$AE31+Pharmaceutical!$AF31-2)</f>
        <v>13275.660773878553</v>
      </c>
      <c r="AO71" s="83">
        <f>ABS(AL71)/(SQRT((Pharmaceutical!AK31/Pharmaceutical!$AE31)+(Pharmaceutical!AL31/Pharmaceutical!$AF31)))</f>
        <v>49.859971901229628</v>
      </c>
      <c r="AP71" s="184">
        <f>(Pharmaceutical!AK31^2/Pharmaceutical!$AE31+Pharmaceutical!AL31^2/Pharmaceutical!$AF31)/((Pharmaceutical!AK31^2/Pharmaceutical!$AE31)/(Pharmaceutical!$AE31-1)+(Pharmaceutical!AL31^2/Pharmaceutical!$AF31)/(Pharmaceutical!$AF31-1))</f>
        <v>4831</v>
      </c>
      <c r="AQ71" s="123">
        <f t="shared" si="20"/>
        <v>1.9604551572968021</v>
      </c>
      <c r="AR71" s="147">
        <f t="shared" si="21"/>
        <v>0</v>
      </c>
      <c r="AS71" s="84">
        <f>Pharmaceutical!AM31-Pharmaceutical!AN31</f>
        <v>84954.889410000003</v>
      </c>
      <c r="AT71" s="86">
        <f>Pharmaceutical!AO31-Pharmaceutical!AP31</f>
        <v>17.581723801738413</v>
      </c>
      <c r="AU71" s="85">
        <f>SQRT(Pharmaceutical!AQ31^2+Pharmaceutical!AR31^2)</f>
        <v>36.512896760492367</v>
      </c>
      <c r="AV71" s="184">
        <f>(Pharmaceutical!$AE31-1)*Pharmaceutical!$AQ31+(Pharmaceutical!$AF31-1)*Pharmaceutical!$AR31/(Pharmaceutical!$AE31+Pharmaceutical!$AF31-2)</f>
        <v>153795.50282301017</v>
      </c>
      <c r="AW71" s="83">
        <f>ABS(AT71)/(SQRT((Pharmaceutical!AQ31/Pharmaceutical!$AE31)+(Pharmaceutical!AR31/Pharmaceutical!$AF31)))</f>
        <v>173.32917016605666</v>
      </c>
      <c r="AX71" s="184">
        <f>(Pharmaceutical!AQ31^2/Pharmaceutical!$AE31+Pharmaceutical!AR31^2/Pharmaceutical!$AF31)/((Pharmaceutical!AQ31^2/Pharmaceutical!$AE31)/(Pharmaceutical!$AE31-1)+(Pharmaceutical!AR31^2/Pharmaceutical!$AF31)/(Pharmaceutical!$AF31-1))</f>
        <v>4831</v>
      </c>
      <c r="AY71" s="123">
        <f t="shared" si="22"/>
        <v>1.9604551572968021</v>
      </c>
      <c r="AZ71" s="189">
        <f t="shared" si="23"/>
        <v>0</v>
      </c>
    </row>
    <row r="72" spans="1:52" x14ac:dyDescent="0.25">
      <c r="A72" s="273" t="s">
        <v>35</v>
      </c>
      <c r="B72" s="5" t="s">
        <v>0</v>
      </c>
      <c r="C72" s="192">
        <f>Pharmaceutical!C32/IncidenceComplications!$G29</f>
        <v>0.88186650915534559</v>
      </c>
      <c r="D72" s="192">
        <f>Pharmaceutical!D32/IncidenceComplications!$G29</f>
        <v>0.66095688127584173</v>
      </c>
      <c r="E72" s="3">
        <f>Pharmaceutical!E32-Pharmaceutical!F32</f>
        <v>2739</v>
      </c>
      <c r="F72" s="37">
        <f>Pharmaceutical!G32-Pharmaceutical!H32</f>
        <v>1.6178381571175429</v>
      </c>
      <c r="G72" s="37">
        <f>SQRT(Pharmaceutical!I32^2+Pharmaceutical!J32^2)</f>
        <v>3.973629204482453</v>
      </c>
      <c r="H72" s="146">
        <f>(Pharmaceutical!$C32-1)*Pharmaceutical!$I32+(Pharmaceutical!$D32-1)*Pharmaceutical!$J32/(Pharmaceutical!$C32+Pharmaceutical!$D32-2)</f>
        <v>4592.12058413671</v>
      </c>
      <c r="I72" s="37">
        <f>ABS(F72)/(SQRT((Pharmaceutical!I32/Pharmaceutical!$C32)+(Pharmaceutical!J32/Pharmaceutical!$D32)))</f>
        <v>24.649340875667903</v>
      </c>
      <c r="J72" s="146">
        <f>(Pharmaceutical!I32^2/Pharmaceutical!$C32+Pharmaceutical!J32^2/Pharmaceutical!$D32)/((Pharmaceutical!I32^2/Pharmaceutical!$C32)/(Pharmaceutical!$C32-1)+(Pharmaceutical!J32^2/Pharmaceutical!$D32)/(Pharmaceutical!$D32-1))</f>
        <v>1288.878799620607</v>
      </c>
      <c r="K72" s="124">
        <f t="shared" si="12"/>
        <v>1.9618075126087937</v>
      </c>
      <c r="L72" s="148">
        <f t="shared" si="13"/>
        <v>3.2484003636251763E-110</v>
      </c>
      <c r="M72" s="54">
        <f>Pharmaceutical!K32-Pharmaceutical!L32</f>
        <v>12862.92805</v>
      </c>
      <c r="N72" s="69">
        <f>Pharmaceutical!M32-Pharmaceutical!N32</f>
        <v>7.5977129651506203</v>
      </c>
      <c r="O72" s="49">
        <f>SQRT(Pharmaceutical!O32^2+Pharmaceutical!P32^2)</f>
        <v>21.331922814032861</v>
      </c>
      <c r="P72" s="146">
        <f>(Pharmaceutical!$C32-1)*Pharmaceutical!$O32+(Pharmaceutical!$D32-1)*Pharmaceutical!$P32/(Pharmaceutical!$C32+Pharmaceutical!$D32-2)</f>
        <v>25137.693564210324</v>
      </c>
      <c r="Q72" s="37">
        <f>ABS(N72)/(SQRT((Pharmaceutical!O32/Pharmaceutical!$C32)+(Pharmaceutical!P32/Pharmaceutical!$D32)))</f>
        <v>50.120657192617983</v>
      </c>
      <c r="R72" s="146">
        <f>(Pharmaceutical!O32^2/Pharmaceutical!$C32+Pharmaceutical!P32^2/Pharmaceutical!$D32)/((Pharmaceutical!O32^2/Pharmaceutical!$C32)/(Pharmaceutical!$C32-1)+(Pharmaceutical!P32^2/Pharmaceutical!$D32)/(Pharmaceutical!$D32-1))</f>
        <v>1298.2375857267423</v>
      </c>
      <c r="S72" s="124">
        <f t="shared" si="14"/>
        <v>1.9617932967482024</v>
      </c>
      <c r="T72" s="148">
        <f t="shared" si="15"/>
        <v>8.4047423538623804E-306</v>
      </c>
      <c r="U72" s="2">
        <f>Pharmaceutical!S32-Pharmaceutical!T32</f>
        <v>1613</v>
      </c>
      <c r="V72" s="37">
        <f>Pharmaceutical!U32-Pharmaceutical!V32</f>
        <v>3.3121149897330597</v>
      </c>
      <c r="W72" s="37">
        <f>SQRT(Pharmaceutical!W32^2+Pharmaceutical!X32^2)</f>
        <v>4.2478742632456692</v>
      </c>
      <c r="X72" s="146">
        <f>(Pharmaceutical!$Q32-1)*Pharmaceutical!$W32+(Pharmaceutical!$R32-1)*Pharmaceutical!$X32/(Pharmaceutical!$Q32+Pharmaceutical!$R32-2)</f>
        <v>1643.1474433464516</v>
      </c>
      <c r="Y72" s="37">
        <f>ABS(V72)/(SQRT((Pharmaceutical!W32/Pharmaceutical!$Q32)+(Pharmaceutical!X32/Pharmaceutical!$R32)))</f>
        <v>29.956065506140259</v>
      </c>
      <c r="Z72" s="146">
        <f>(Pharmaceutical!W32^2/Pharmaceutical!$Q32+Pharmaceutical!X32^2/Pharmaceutical!$R32)/((Pharmaceutical!W32^2/Pharmaceutical!$Q32)/(Pharmaceutical!$Q32-1)+(Pharmaceutical!X32^2/Pharmaceutical!$R32)/(Pharmaceutical!$R32-1))</f>
        <v>485.99999999999994</v>
      </c>
      <c r="AA72" s="124">
        <f t="shared" si="16"/>
        <v>1.9648672870030777</v>
      </c>
      <c r="AB72" s="148">
        <f t="shared" si="17"/>
        <v>2.2053908450090718E-112</v>
      </c>
      <c r="AC72" s="54">
        <f>Pharmaceutical!Y32-Pharmaceutical!Z32</f>
        <v>8271.5867099999996</v>
      </c>
      <c r="AD72" s="69">
        <f>Pharmaceutical!AA32-Pharmaceutical!AB32</f>
        <v>16.984777638603695</v>
      </c>
      <c r="AE72" s="49">
        <f>SQRT(Pharmaceutical!AC32^2+Pharmaceutical!AD32^2)</f>
        <v>25.321041741520574</v>
      </c>
      <c r="AF72" s="146">
        <f>(Pharmaceutical!$Q32-1)*Pharmaceutical!$AC32+(Pharmaceutical!$R32-1)*Pharmaceutical!$AD32/(Pharmaceutical!$Q32+Pharmaceutical!$R32-2)</f>
        <v>9751.6605457431197</v>
      </c>
      <c r="AG72" s="37">
        <f>ABS(AD72)/(SQRT((Pharmaceutical!AC32/Pharmaceutical!$Q32)+(Pharmaceutical!AD32/Pharmaceutical!$R32)))</f>
        <v>62.895522738171643</v>
      </c>
      <c r="AH72" s="146">
        <f>(Pharmaceutical!AC32^2/Pharmaceutical!$Q32+Pharmaceutical!AD32^2/Pharmaceutical!$R32)/((Pharmaceutical!AC32^2/Pharmaceutical!$Q32)/(Pharmaceutical!$Q32-1)+(Pharmaceutical!AD32^2/Pharmaceutical!$R32)/(Pharmaceutical!$R32-1))</f>
        <v>485.99999999999994</v>
      </c>
      <c r="AI72" s="124">
        <f t="shared" si="18"/>
        <v>1.9648672870030777</v>
      </c>
      <c r="AJ72" s="148">
        <f t="shared" si="19"/>
        <v>2.3214906580396874E-235</v>
      </c>
      <c r="AK72" s="2">
        <f>Pharmaceutical!AG32-Pharmaceutical!AH32</f>
        <v>586</v>
      </c>
      <c r="AL72" s="37">
        <f>Pharmaceutical!AI32-Pharmaceutical!AJ32</f>
        <v>2.7511737089201884</v>
      </c>
      <c r="AM72" s="37">
        <f>SQRT(Pharmaceutical!AK32^2+Pharmaceutical!AL32^2)</f>
        <v>4.3954506686713373</v>
      </c>
      <c r="AN72" s="146">
        <f>(Pharmaceutical!$AE32-1)*Pharmaceutical!$AK32+(Pharmaceutical!$AF32-1)*Pharmaceutical!$AL32/(Pharmaceutical!$AE32+Pharmaceutical!$AF32-2)</f>
        <v>788.60782756903291</v>
      </c>
      <c r="AO72" s="37">
        <f>ABS(AL72)/(SQRT((Pharmaceutical!AK32/Pharmaceutical!$AE32)+(Pharmaceutical!AL32/Pharmaceutical!$AF32)))</f>
        <v>16.304460872057863</v>
      </c>
      <c r="AP72" s="146">
        <f>(Pharmaceutical!AK32^2/Pharmaceutical!$AE32+Pharmaceutical!AL32^2/Pharmaceutical!$AF32)/((Pharmaceutical!AK32^2/Pharmaceutical!$AE32)/(Pharmaceutical!$AE32-1)+(Pharmaceutical!AL32^2/Pharmaceutical!$AF32)/(Pharmaceutical!$AF32-1))</f>
        <v>212</v>
      </c>
      <c r="AQ72" s="124">
        <f t="shared" si="20"/>
        <v>1.9712170125477553</v>
      </c>
      <c r="AR72" s="148">
        <f t="shared" si="21"/>
        <v>2.8319391778302506E-39</v>
      </c>
      <c r="AS72" s="54">
        <f>Pharmaceutical!AM32-Pharmaceutical!AN32</f>
        <v>3284.2540909999998</v>
      </c>
      <c r="AT72" s="69">
        <f>Pharmaceutical!AO32-Pharmaceutical!AP32</f>
        <v>15.419033291079812</v>
      </c>
      <c r="AU72" s="49">
        <f>SQRT(Pharmaceutical!AQ32^2+Pharmaceutical!AR32^2)</f>
        <v>25.963241789379328</v>
      </c>
      <c r="AV72" s="146">
        <f>(Pharmaceutical!$AE32-1)*Pharmaceutical!$AQ32+(Pharmaceutical!$AF32-1)*Pharmaceutical!$AR32/(Pharmaceutical!$AE32+Pharmaceutical!$AF32-2)</f>
        <v>4435.5119165293972</v>
      </c>
      <c r="AW72" s="37">
        <f>ABS(AT72)/(SQRT((Pharmaceutical!AQ32/Pharmaceutical!$AE32)+(Pharmaceutical!AR32/Pharmaceutical!$AF32)))</f>
        <v>37.345670711172048</v>
      </c>
      <c r="AX72" s="146">
        <f>(Pharmaceutical!AQ32^2/Pharmaceutical!$AE32+Pharmaceutical!AR32^2/Pharmaceutical!$AF32)/((Pharmaceutical!AQ32^2/Pharmaceutical!$AE32)/(Pharmaceutical!$AE32-1)+(Pharmaceutical!AR32^2/Pharmaceutical!$AF32)/(Pharmaceutical!$AF32-1))</f>
        <v>212</v>
      </c>
      <c r="AY72" s="124">
        <f t="shared" si="22"/>
        <v>1.9712170125477553</v>
      </c>
      <c r="AZ72" s="186">
        <f t="shared" si="23"/>
        <v>3.3979531380574434E-95</v>
      </c>
    </row>
    <row r="73" spans="1:52" x14ac:dyDescent="0.25">
      <c r="A73" s="261"/>
      <c r="B73" s="5" t="s">
        <v>1</v>
      </c>
      <c r="C73" s="192">
        <f>Pharmaceutical!C33/IncidenceComplications!$G30</f>
        <v>0.88172043010752688</v>
      </c>
      <c r="D73" s="192">
        <f>Pharmaceutical!D33/IncidenceComplications!$G30</f>
        <v>0.66808981657179001</v>
      </c>
      <c r="E73" s="3">
        <f>Pharmaceutical!E33-Pharmaceutical!F33</f>
        <v>8598</v>
      </c>
      <c r="F73" s="37">
        <f>Pharmaceutical!G33-Pharmaceutical!H33</f>
        <v>1.359582542694497</v>
      </c>
      <c r="G73" s="37">
        <f>SQRT(Pharmaceutical!I33^2+Pharmaceutical!J33^2)</f>
        <v>4.0455156979077085</v>
      </c>
      <c r="H73" s="146">
        <f>(Pharmaceutical!$C33-1)*Pharmaceutical!$I33+(Pharmaceutical!$D33-1)*Pharmaceutical!$J33/(Pharmaceutical!$C33+Pharmaceutical!$D33-2)</f>
        <v>17019.507323563972</v>
      </c>
      <c r="I73" s="37">
        <f>ABS(F73)/(SQRT((Pharmaceutical!I33/Pharmaceutical!$C33)+(Pharmaceutical!J33/Pharmaceutical!$D33)))</f>
        <v>39.649594842822701</v>
      </c>
      <c r="J73" s="146">
        <f>(Pharmaceutical!I33^2/Pharmaceutical!$C33+Pharmaceutical!J33^2/Pharmaceutical!$D33)/((Pharmaceutical!I33^2/Pharmaceutical!$C33)/(Pharmaceutical!$C33-1)+(Pharmaceutical!J33^2/Pharmaceutical!$D33)/(Pharmaceutical!$D33-1))</f>
        <v>4806.9801440319306</v>
      </c>
      <c r="K73" s="124">
        <f t="shared" si="12"/>
        <v>1.9604577129270049</v>
      </c>
      <c r="L73" s="148">
        <f t="shared" si="13"/>
        <v>1.0460945796698028E-297</v>
      </c>
      <c r="M73" s="54">
        <f>Pharmaceutical!K33-Pharmaceutical!L33</f>
        <v>49001.905499999993</v>
      </c>
      <c r="N73" s="69">
        <f>Pharmaceutical!M33-Pharmaceutical!N33</f>
        <v>7.7485619070208696</v>
      </c>
      <c r="O73" s="49">
        <f>SQRT(Pharmaceutical!O33^2+Pharmaceutical!P33^2)</f>
        <v>28.365452950054237</v>
      </c>
      <c r="P73" s="146">
        <f>(Pharmaceutical!$C33-1)*Pharmaceutical!$O33+(Pharmaceutical!$D33-1)*Pharmaceutical!$P33/(Pharmaceutical!$C33+Pharmaceutical!$D33-2)</f>
        <v>119663.66279188276</v>
      </c>
      <c r="Q73" s="37">
        <f>ABS(N73)/(SQRT((Pharmaceutical!O33/Pharmaceutical!$C33)+(Pharmaceutical!P33/Pharmaceutical!$D33)))</f>
        <v>85.367493087789555</v>
      </c>
      <c r="R73" s="146">
        <f>(Pharmaceutical!O33^2/Pharmaceutical!$C33+Pharmaceutical!P33^2/Pharmaceutical!$D33)/((Pharmaceutical!O33^2/Pharmaceutical!$C33)/(Pharmaceutical!$C33-1)+(Pharmaceutical!P33^2/Pharmaceutical!$D33)/(Pharmaceutical!$D33-1))</f>
        <v>4811.2513182366347</v>
      </c>
      <c r="S73" s="124">
        <f t="shared" si="14"/>
        <v>1.9604571996755862</v>
      </c>
      <c r="T73" s="148">
        <f t="shared" si="15"/>
        <v>0</v>
      </c>
      <c r="U73" s="2">
        <f>Pharmaceutical!S33-Pharmaceutical!T33</f>
        <v>5096</v>
      </c>
      <c r="V73" s="37">
        <f>Pharmaceutical!U33-Pharmaceutical!V33</f>
        <v>2.4015080113100846</v>
      </c>
      <c r="W73" s="37">
        <f>SQRT(Pharmaceutical!W33^2+Pharmaceutical!X33^2)</f>
        <v>4.3557867872970775</v>
      </c>
      <c r="X73" s="146">
        <f>(Pharmaceutical!$Q33-1)*Pharmaceutical!$W33+(Pharmaceutical!$R33-1)*Pharmaceutical!$X33/(Pharmaceutical!$Q33+Pharmaceutical!$R33-2)</f>
        <v>7171.4535490064072</v>
      </c>
      <c r="Y73" s="37">
        <f>ABS(V73)/(SQRT((Pharmaceutical!W33/Pharmaceutical!$Q33)+(Pharmaceutical!X33/Pharmaceutical!$R33)))</f>
        <v>44.691105433741683</v>
      </c>
      <c r="Z73" s="146">
        <f>(Pharmaceutical!W33^2/Pharmaceutical!$Q33+Pharmaceutical!X33^2/Pharmaceutical!$R33)/((Pharmaceutical!W33^2/Pharmaceutical!$Q33)/(Pharmaceutical!$Q33-1)+(Pharmaceutical!X33^2/Pharmaceutical!$R33)/(Pharmaceutical!$R33-1))</f>
        <v>2121</v>
      </c>
      <c r="AA73" s="124">
        <f t="shared" si="16"/>
        <v>1.9610830805033026</v>
      </c>
      <c r="AB73" s="148">
        <f t="shared" si="17"/>
        <v>6.0823346805173961E-308</v>
      </c>
      <c r="AC73" s="54">
        <f>Pharmaceutical!Y33-Pharmaceutical!Z33</f>
        <v>31624.59605</v>
      </c>
      <c r="AD73" s="69">
        <f>Pharmaceutical!AA33-Pharmaceutical!AB33</f>
        <v>14.903202662582469</v>
      </c>
      <c r="AE73" s="49">
        <f>SQRT(Pharmaceutical!AC33^2+Pharmaceutical!AD33^2)</f>
        <v>29.948013930860732</v>
      </c>
      <c r="AF73" s="146">
        <f>(Pharmaceutical!$Q33-1)*Pharmaceutical!$AC33+(Pharmaceutical!$R33-1)*Pharmaceutical!$AD33/(Pharmaceutical!$Q33+Pharmaceutical!$R33-2)</f>
        <v>49744.796092755278</v>
      </c>
      <c r="AG73" s="37">
        <f>ABS(AD73)/(SQRT((Pharmaceutical!AC33/Pharmaceutical!$Q33)+(Pharmaceutical!AD33/Pharmaceutical!$R33)))</f>
        <v>105.83430683132819</v>
      </c>
      <c r="AH73" s="146">
        <f>(Pharmaceutical!AC33^2/Pharmaceutical!$Q33+Pharmaceutical!AD33^2/Pharmaceutical!$R33)/((Pharmaceutical!AC33^2/Pharmaceutical!$Q33)/(Pharmaceutical!$Q33-1)+(Pharmaceutical!AD33^2/Pharmaceutical!$R33)/(Pharmaceutical!$R33-1))</f>
        <v>2121.0000000000005</v>
      </c>
      <c r="AI73" s="124">
        <f t="shared" si="18"/>
        <v>1.9610830805033026</v>
      </c>
      <c r="AJ73" s="148">
        <f t="shared" si="19"/>
        <v>0</v>
      </c>
      <c r="AK73" s="2">
        <f>Pharmaceutical!AG33-Pharmaceutical!AH33</f>
        <v>1599</v>
      </c>
      <c r="AL73" s="37">
        <f>Pharmaceutical!AI33-Pharmaceutical!AJ33</f>
        <v>2.2024793388429758</v>
      </c>
      <c r="AM73" s="37">
        <f>SQRT(Pharmaceutical!AK33^2+Pharmaceutical!AL33^2)</f>
        <v>4.7106861008805456</v>
      </c>
      <c r="AN73" s="146">
        <f>(Pharmaceutical!$AE33-1)*Pharmaceutical!$AK33+(Pharmaceutical!$AF33-1)*Pharmaceutical!$AL33/(Pharmaceutical!$AE33+Pharmaceutical!$AF33-2)</f>
        <v>2708.3774055863846</v>
      </c>
      <c r="AO73" s="37">
        <f>ABS(AL73)/(SQRT((Pharmaceutical!AK33/Pharmaceutical!$AE33)+(Pharmaceutical!AL33/Pharmaceutical!$AF33)))</f>
        <v>23.089329851695563</v>
      </c>
      <c r="AP73" s="146">
        <f>(Pharmaceutical!AK33^2/Pharmaceutical!$AE33+Pharmaceutical!AL33^2/Pharmaceutical!$AF33)/((Pharmaceutical!AK33^2/Pharmaceutical!$AE33)/(Pharmaceutical!$AE33-1)+(Pharmaceutical!AL33^2/Pharmaceutical!$AF33)/(Pharmaceutical!$AF33-1))</f>
        <v>725</v>
      </c>
      <c r="AQ73" s="124">
        <f t="shared" si="20"/>
        <v>1.9632414592966136</v>
      </c>
      <c r="AR73" s="148">
        <f t="shared" si="21"/>
        <v>7.6014507852753403E-89</v>
      </c>
      <c r="AS73" s="54">
        <f>Pharmaceutical!AM33-Pharmaceutical!AN33</f>
        <v>12114.228969999996</v>
      </c>
      <c r="AT73" s="69">
        <f>Pharmaceutical!AO33-Pharmaceutical!AP33</f>
        <v>16.68626579889807</v>
      </c>
      <c r="AU73" s="49">
        <f>SQRT(Pharmaceutical!AQ33^2+Pharmaceutical!AR33^2)</f>
        <v>33.571594805789545</v>
      </c>
      <c r="AV73" s="146">
        <f>(Pharmaceutical!$AE33-1)*Pharmaceutical!$AQ33+(Pharmaceutical!$AF33-1)*Pharmaceutical!$AR33/(Pharmaceutical!$AE33+Pharmaceutical!$AF33-2)</f>
        <v>19540.128698366803</v>
      </c>
      <c r="AW73" s="37">
        <f>ABS(AT73)/(SQRT((Pharmaceutical!AQ33/Pharmaceutical!$AE33)+(Pharmaceutical!AR33/Pharmaceutical!$AF33)))</f>
        <v>65.60003041577815</v>
      </c>
      <c r="AX73" s="146">
        <f>(Pharmaceutical!AQ33^2/Pharmaceutical!$AE33+Pharmaceutical!AR33^2/Pharmaceutical!$AF33)/((Pharmaceutical!AQ33^2/Pharmaceutical!$AE33)/(Pharmaceutical!$AE33-1)+(Pharmaceutical!AR33^2/Pharmaceutical!$AF33)/(Pharmaceutical!$AF33-1))</f>
        <v>725.00000000000011</v>
      </c>
      <c r="AY73" s="124">
        <f t="shared" si="22"/>
        <v>1.9632414592966136</v>
      </c>
      <c r="AZ73" s="186">
        <f t="shared" si="23"/>
        <v>4.0801478091369723E-307</v>
      </c>
    </row>
    <row r="74" spans="1:52" x14ac:dyDescent="0.25">
      <c r="A74" s="261"/>
      <c r="B74" s="5" t="s">
        <v>2</v>
      </c>
      <c r="C74" s="192">
        <f>Pharmaceutical!C34/IncidenceComplications!$G31</f>
        <v>0.83209876543209882</v>
      </c>
      <c r="D74" s="192">
        <f>Pharmaceutical!D34/IncidenceComplications!$G31</f>
        <v>0.46769547325102878</v>
      </c>
      <c r="E74" s="3">
        <f>Pharmaceutical!E34-Pharmaceutical!F34</f>
        <v>6524</v>
      </c>
      <c r="F74" s="37">
        <f>Pharmaceutical!G34-Pharmaceutical!H34</f>
        <v>1.3423868312757203</v>
      </c>
      <c r="G74" s="37">
        <f>SQRT(Pharmaceutical!I34^2+Pharmaceutical!J34^2)</f>
        <v>2.9244897258556581</v>
      </c>
      <c r="H74" s="146">
        <f>(Pharmaceutical!$C34-1)*Pharmaceutical!$I34+(Pharmaceutical!$D34-1)*Pharmaceutical!$J34/(Pharmaceutical!$C34+Pharmaceutical!$D34-2)</f>
        <v>9143.9012123510856</v>
      </c>
      <c r="I74" s="37">
        <f>ABS(F74)/(SQRT((Pharmaceutical!I34/Pharmaceutical!$C34)+(Pharmaceutical!J34/Pharmaceutical!$D34)))</f>
        <v>36.201504979246465</v>
      </c>
      <c r="J74" s="146">
        <f>(Pharmaceutical!I34^2/Pharmaceutical!$C34+Pharmaceutical!J34^2/Pharmaceutical!$D34)/((Pharmaceutical!I34^2/Pharmaceutical!$C34)/(Pharmaceutical!$C34-1)+(Pharmaceutical!J34^2/Pharmaceutical!$D34)/(Pharmaceutical!$D34-1))</f>
        <v>2838.1026587740976</v>
      </c>
      <c r="K74" s="124">
        <f t="shared" si="12"/>
        <v>1.9608002305180718</v>
      </c>
      <c r="L74" s="148">
        <f t="shared" si="13"/>
        <v>2.8518925289346691E-236</v>
      </c>
      <c r="M74" s="54">
        <f>Pharmaceutical!K34-Pharmaceutical!L34</f>
        <v>34791.390240000001</v>
      </c>
      <c r="N74" s="69">
        <f>Pharmaceutical!M34-Pharmaceutical!N34</f>
        <v>7.1587222716049386</v>
      </c>
      <c r="O74" s="49">
        <f>SQRT(Pharmaceutical!O34^2+Pharmaceutical!P34^2)</f>
        <v>58.290956245110713</v>
      </c>
      <c r="P74" s="146">
        <f>(Pharmaceutical!$C34-1)*Pharmaceutical!$O34+(Pharmaceutical!$D34-1)*Pharmaceutical!$P34/(Pharmaceutical!$C34+Pharmaceutical!$D34-2)</f>
        <v>77582.559562461116</v>
      </c>
      <c r="Q74" s="37">
        <f>ABS(N74)/(SQRT((Pharmaceutical!O34/Pharmaceutical!$C34)+(Pharmaceutical!P34/Pharmaceutical!$D34)))</f>
        <v>42.066350822175231</v>
      </c>
      <c r="R74" s="146">
        <f>(Pharmaceutical!O34^2/Pharmaceutical!$C34+Pharmaceutical!P34^2/Pharmaceutical!$D34)/((Pharmaceutical!O34^2/Pharmaceutical!$C34)/(Pharmaceutical!$C34-1)+(Pharmaceutical!P34^2/Pharmaceutical!$D34)/(Pharmaceutical!$D34-1))</f>
        <v>2337.4403950311848</v>
      </c>
      <c r="S74" s="124">
        <f t="shared" si="14"/>
        <v>1.9609795940576749</v>
      </c>
      <c r="T74" s="148">
        <f t="shared" si="15"/>
        <v>2.1202000845199601E-288</v>
      </c>
      <c r="U74" s="2">
        <f>Pharmaceutical!S34-Pharmaceutical!T34</f>
        <v>1971</v>
      </c>
      <c r="V74" s="37">
        <f>Pharmaceutical!U34-Pharmaceutical!V34</f>
        <v>2.533419023136247</v>
      </c>
      <c r="W74" s="37">
        <f>SQRT(Pharmaceutical!W34^2+Pharmaceutical!X34^2)</f>
        <v>3.2897550329435177</v>
      </c>
      <c r="X74" s="146">
        <f>(Pharmaceutical!$Q34-1)*Pharmaceutical!$W34+(Pharmaceutical!$R34-1)*Pharmaceutical!$X34/(Pharmaceutical!$Q34+Pharmaceutical!$R34-2)</f>
        <v>2112.1498088375215</v>
      </c>
      <c r="Y74" s="37">
        <f>ABS(V74)/(SQRT((Pharmaceutical!W34/Pharmaceutical!$Q34)+(Pharmaceutical!X34/Pharmaceutical!$R34)))</f>
        <v>33.048743544940642</v>
      </c>
      <c r="Z74" s="146">
        <f>(Pharmaceutical!W34^2/Pharmaceutical!$Q34+Pharmaceutical!X34^2/Pharmaceutical!$R34)/((Pharmaceutical!W34^2/Pharmaceutical!$Q34)/(Pharmaceutical!$Q34-1)+(Pharmaceutical!X34^2/Pharmaceutical!$R34)/(Pharmaceutical!$R34-1))</f>
        <v>777</v>
      </c>
      <c r="AA74" s="124">
        <f t="shared" si="16"/>
        <v>1.9630217812279136</v>
      </c>
      <c r="AB74" s="148">
        <f t="shared" si="17"/>
        <v>2.8934228897159379E-150</v>
      </c>
      <c r="AC74" s="54">
        <f>Pharmaceutical!Y34-Pharmaceutical!Z34</f>
        <v>13662.928220000002</v>
      </c>
      <c r="AD74" s="69">
        <f>Pharmaceutical!AA34-Pharmaceutical!AB34</f>
        <v>17.561604395886892</v>
      </c>
      <c r="AE74" s="49">
        <f>SQRT(Pharmaceutical!AC34^2+Pharmaceutical!AD34^2)</f>
        <v>27.567710067917176</v>
      </c>
      <c r="AF74" s="146">
        <f>(Pharmaceutical!$Q34-1)*Pharmaceutical!$AC34+(Pharmaceutical!$R34-1)*Pharmaceutical!$AD34/(Pharmaceutical!$Q34+Pharmaceutical!$R34-2)</f>
        <v>18514.536491989005</v>
      </c>
      <c r="AG74" s="37">
        <f>ABS(AD74)/(SQRT((Pharmaceutical!AC34/Pharmaceutical!$Q34)+(Pharmaceutical!AD34/Pharmaceutical!$R34)))</f>
        <v>79.780099677583721</v>
      </c>
      <c r="AH74" s="146">
        <f>(Pharmaceutical!AC34^2/Pharmaceutical!$Q34+Pharmaceutical!AD34^2/Pharmaceutical!$R34)/((Pharmaceutical!AC34^2/Pharmaceutical!$Q34)/(Pharmaceutical!$Q34-1)+(Pharmaceutical!AD34^2/Pharmaceutical!$R34)/(Pharmaceutical!$R34-1))</f>
        <v>777</v>
      </c>
      <c r="AI74" s="124">
        <f t="shared" si="18"/>
        <v>1.9630217812279136</v>
      </c>
      <c r="AJ74" s="148">
        <f t="shared" si="19"/>
        <v>0</v>
      </c>
      <c r="AK74" s="2">
        <f>Pharmaceutical!AG34-Pharmaceutical!AH34</f>
        <v>758</v>
      </c>
      <c r="AL74" s="37">
        <f>Pharmaceutical!AI34-Pharmaceutical!AJ34</f>
        <v>2.3395061728395063</v>
      </c>
      <c r="AM74" s="37">
        <f>SQRT(Pharmaceutical!AK34^2+Pharmaceutical!AL34^2)</f>
        <v>3.5043268876911307</v>
      </c>
      <c r="AN74" s="146">
        <f>(Pharmaceutical!$AE34-1)*Pharmaceutical!$AK34+(Pharmaceutical!$AF34-1)*Pharmaceutical!$AL34/(Pharmaceutical!$AE34+Pharmaceutical!$AF34-2)</f>
        <v>989.48603257090315</v>
      </c>
      <c r="AO74" s="37">
        <f>ABS(AL74)/(SQRT((Pharmaceutical!AK34/Pharmaceutical!$AE34)+(Pharmaceutical!AL34/Pharmaceutical!$AF34)))</f>
        <v>19.286981534053812</v>
      </c>
      <c r="AP74" s="146">
        <f>(Pharmaceutical!AK34^2/Pharmaceutical!$AE34+Pharmaceutical!AL34^2/Pharmaceutical!$AF34)/((Pharmaceutical!AK34^2/Pharmaceutical!$AE34)/(Pharmaceutical!$AE34-1)+(Pharmaceutical!AL34^2/Pharmaceutical!$AF34)/(Pharmaceutical!$AF34-1))</f>
        <v>323</v>
      </c>
      <c r="AQ74" s="124">
        <f t="shared" si="20"/>
        <v>1.9673356073305315</v>
      </c>
      <c r="AR74" s="148">
        <f t="shared" si="21"/>
        <v>1.0926506308557946E-55</v>
      </c>
      <c r="AS74" s="54">
        <f>Pharmaceutical!AM34-Pharmaceutical!AN34</f>
        <v>6468.8028130000002</v>
      </c>
      <c r="AT74" s="69">
        <f>Pharmaceutical!AO34-Pharmaceutical!AP34</f>
        <v>19.965440780864199</v>
      </c>
      <c r="AU74" s="49">
        <f>SQRT(Pharmaceutical!AQ34^2+Pharmaceutical!AR34^2)</f>
        <v>33.182319506612949</v>
      </c>
      <c r="AV74" s="146">
        <f>(Pharmaceutical!$AE34-1)*Pharmaceutical!$AQ34+(Pharmaceutical!$AF34-1)*Pharmaceutical!$AR34/(Pharmaceutical!$AE34+Pharmaceutical!$AF34-2)</f>
        <v>9528.5518553594593</v>
      </c>
      <c r="AW74" s="37">
        <f>ABS(AT74)/(SQRT((Pharmaceutical!AQ34/Pharmaceutical!$AE34)+(Pharmaceutical!AR34/Pharmaceutical!$AF34)))</f>
        <v>53.74358695513228</v>
      </c>
      <c r="AX74" s="146">
        <f>(Pharmaceutical!AQ34^2/Pharmaceutical!$AE34+Pharmaceutical!AR34^2/Pharmaceutical!$AF34)/((Pharmaceutical!AQ34^2/Pharmaceutical!$AE34)/(Pharmaceutical!$AE34-1)+(Pharmaceutical!AR34^2/Pharmaceutical!$AF34)/(Pharmaceutical!$AF34-1))</f>
        <v>323</v>
      </c>
      <c r="AY74" s="124">
        <f t="shared" si="22"/>
        <v>1.9673356073305315</v>
      </c>
      <c r="AZ74" s="186">
        <f t="shared" si="23"/>
        <v>3.7628769757605203E-163</v>
      </c>
    </row>
    <row r="75" spans="1:52" x14ac:dyDescent="0.25">
      <c r="A75" s="261"/>
      <c r="B75" s="5" t="s">
        <v>3</v>
      </c>
      <c r="C75" s="192">
        <f>Pharmaceutical!C35/IncidenceComplications!$G32</f>
        <v>0.58548483045806066</v>
      </c>
      <c r="D75" s="192">
        <f>Pharmaceutical!D35/IncidenceComplications!$G32</f>
        <v>0.2547293277810827</v>
      </c>
      <c r="E75" s="3">
        <f>Pharmaceutical!E35-Pharmaceutical!F35</f>
        <v>7051</v>
      </c>
      <c r="F75" s="37">
        <f>Pharmaceutical!G35-Pharmaceutical!H35</f>
        <v>0.8389054134443783</v>
      </c>
      <c r="G75" s="37">
        <f>SQRT(Pharmaceutical!I35^2+Pharmaceutical!J35^2)</f>
        <v>2.0225007894989813</v>
      </c>
      <c r="H75" s="146">
        <f>(Pharmaceutical!$C35-1)*Pharmaceutical!$I35+(Pharmaceutical!$D35-1)*Pharmaceutical!$J35/(Pharmaceutical!$C35+Pharmaceutical!$D35-2)</f>
        <v>8267.7069484980238</v>
      </c>
      <c r="I75" s="37">
        <f>ABS(F75)/(SQRT((Pharmaceutical!I35/Pharmaceutical!$C35)+(Pharmaceutical!J35/Pharmaceutical!$D35)))</f>
        <v>28.48763852167265</v>
      </c>
      <c r="J75" s="146">
        <f>(Pharmaceutical!I35^2/Pharmaceutical!$C35+Pharmaceutical!J35^2/Pharmaceutical!$D35)/((Pharmaceutical!I35^2/Pharmaceutical!$C35)/(Pharmaceutical!$C35-1)+(Pharmaceutical!J35^2/Pharmaceutical!$D35)/(Pharmaceutical!$D35-1))</f>
        <v>2964.686601804277</v>
      </c>
      <c r="K75" s="124">
        <f t="shared" si="12"/>
        <v>1.9607646673272365</v>
      </c>
      <c r="L75" s="148">
        <f t="shared" si="13"/>
        <v>5.480495255260547E-158</v>
      </c>
      <c r="M75" s="54">
        <f>Pharmaceutical!K35-Pharmaceutical!L35</f>
        <v>71592.567970000004</v>
      </c>
      <c r="N75" s="69">
        <f>Pharmaceutical!M35-Pharmaceutical!N35</f>
        <v>8.5178546067816789</v>
      </c>
      <c r="O75" s="49">
        <f>SQRT(Pharmaceutical!O35^2+Pharmaceutical!P35^2)</f>
        <v>53.659613512728384</v>
      </c>
      <c r="P75" s="146">
        <f>(Pharmaceutical!$C35-1)*Pharmaceutical!$O35+(Pharmaceutical!$D35-1)*Pharmaceutical!$P35/(Pharmaceutical!$C35+Pharmaceutical!$D35-2)</f>
        <v>256511.85740735164</v>
      </c>
      <c r="Q75" s="37">
        <f>ABS(N75)/(SQRT((Pharmaceutical!O35/Pharmaceutical!$C35)+(Pharmaceutical!P35/Pharmaceutical!$D35)))</f>
        <v>66.261268916056153</v>
      </c>
      <c r="R75" s="146">
        <f>(Pharmaceutical!O35^2/Pharmaceutical!$C35+Pharmaceutical!P35^2/Pharmaceutical!$D35)/((Pharmaceutical!O35^2/Pharmaceutical!$C35)/(Pharmaceutical!$C35-1)+(Pharmaceutical!P35^2/Pharmaceutical!$D35)/(Pharmaceutical!$D35-1))</f>
        <v>4256.6167168857855</v>
      </c>
      <c r="S75" s="124">
        <f t="shared" si="14"/>
        <v>1.9605215349517626</v>
      </c>
      <c r="T75" s="148">
        <f t="shared" si="15"/>
        <v>0</v>
      </c>
      <c r="U75" s="2">
        <f>Pharmaceutical!S35-Pharmaceutical!T35</f>
        <v>1108</v>
      </c>
      <c r="V75" s="37">
        <f>Pharmaceutical!U35-Pharmaceutical!V35</f>
        <v>1.819376026272578</v>
      </c>
      <c r="W75" s="37">
        <f>SQRT(Pharmaceutical!W35^2+Pharmaceutical!X35^2)</f>
        <v>2.7393394228651333</v>
      </c>
      <c r="X75" s="146">
        <f>(Pharmaceutical!$Q35-1)*Pharmaceutical!$W35+(Pharmaceutical!$R35-1)*Pharmaceutical!$X35/(Pharmaceutical!$Q35+Pharmaceutical!$R35-2)</f>
        <v>1427.4244957027076</v>
      </c>
      <c r="Y75" s="37">
        <f>ABS(V75)/(SQRT((Pharmaceutical!W35/Pharmaceutical!$Q35)+(Pharmaceutical!X35/Pharmaceutical!$R35)))</f>
        <v>23.154818065179551</v>
      </c>
      <c r="Z75" s="146">
        <f>(Pharmaceutical!W35^2/Pharmaceutical!$Q35+Pharmaceutical!X35^2/Pharmaceutical!$R35)/((Pharmaceutical!W35^2/Pharmaceutical!$Q35)/(Pharmaceutical!$Q35-1)+(Pharmaceutical!X35^2/Pharmaceutical!$R35)/(Pharmaceutical!$R35-1))</f>
        <v>608</v>
      </c>
      <c r="AA75" s="124">
        <f t="shared" si="16"/>
        <v>1.9638733931236239</v>
      </c>
      <c r="AB75" s="148">
        <f t="shared" si="17"/>
        <v>1.5921347731443173E-85</v>
      </c>
      <c r="AC75" s="54">
        <f>Pharmaceutical!Y35-Pharmaceutical!Z35</f>
        <v>10972.688369999998</v>
      </c>
      <c r="AD75" s="69">
        <f>Pharmaceutical!AA35-Pharmaceutical!AB35</f>
        <v>18.01755068965517</v>
      </c>
      <c r="AE75" s="49">
        <f>SQRT(Pharmaceutical!AC35^2+Pharmaceutical!AD35^2)</f>
        <v>30.379350856505031</v>
      </c>
      <c r="AF75" s="146">
        <f>(Pharmaceutical!$Q35-1)*Pharmaceutical!$AC35+(Pharmaceutical!$R35-1)*Pharmaceutical!$AD35/(Pharmaceutical!$Q35+Pharmaceutical!$R35-2)</f>
        <v>15045.881652047045</v>
      </c>
      <c r="AG75" s="37">
        <f>ABS(AD75)/(SQRT((Pharmaceutical!AC35/Pharmaceutical!$Q35)+(Pharmaceutical!AD35/Pharmaceutical!$R35)))</f>
        <v>68.305504729910567</v>
      </c>
      <c r="AH75" s="146">
        <f>(Pharmaceutical!AC35^2/Pharmaceutical!$Q35+Pharmaceutical!AD35^2/Pharmaceutical!$R35)/((Pharmaceutical!AC35^2/Pharmaceutical!$Q35)/(Pharmaceutical!$Q35-1)+(Pharmaceutical!AD35^2/Pharmaceutical!$R35)/(Pharmaceutical!$R35-1))</f>
        <v>608</v>
      </c>
      <c r="AI75" s="124">
        <f t="shared" si="18"/>
        <v>1.9638733931236239</v>
      </c>
      <c r="AJ75" s="148">
        <f t="shared" si="19"/>
        <v>2.0958941885719463E-287</v>
      </c>
      <c r="AK75" s="2">
        <f>Pharmaceutical!AG35-Pharmaceutical!AH35</f>
        <v>654</v>
      </c>
      <c r="AL75" s="37">
        <f>Pharmaceutical!AI35-Pharmaceutical!AJ35</f>
        <v>1.6987012987012986</v>
      </c>
      <c r="AM75" s="37">
        <f>SQRT(Pharmaceutical!AK35^2+Pharmaceutical!AL35^2)</f>
        <v>2.4656362403130241</v>
      </c>
      <c r="AN75" s="146">
        <f>(Pharmaceutical!$AE35-1)*Pharmaceutical!$AK35+(Pharmaceutical!$AF35-1)*Pharmaceutical!$AL35/(Pharmaceutical!$AE35+Pharmaceutical!$AF35-2)</f>
        <v>798.31356192709711</v>
      </c>
      <c r="AO75" s="37">
        <f>ABS(AL75)/(SQRT((Pharmaceutical!AK35/Pharmaceutical!$AE35)+(Pharmaceutical!AL35/Pharmaceutical!$AF35)))</f>
        <v>18.061426893299117</v>
      </c>
      <c r="AP75" s="146">
        <f>(Pharmaceutical!AK35^2/Pharmaceutical!$AE35+Pharmaceutical!AL35^2/Pharmaceutical!$AF35)/((Pharmaceutical!AK35^2/Pharmaceutical!$AE35)/(Pharmaceutical!$AE35-1)+(Pharmaceutical!AL35^2/Pharmaceutical!$AF35)/(Pharmaceutical!$AF35-1))</f>
        <v>384</v>
      </c>
      <c r="AQ75" s="124">
        <f t="shared" si="20"/>
        <v>1.9661609607071882</v>
      </c>
      <c r="AR75" s="148">
        <f t="shared" si="21"/>
        <v>3.1757710103500083E-53</v>
      </c>
      <c r="AS75" s="54">
        <f>Pharmaceutical!AM35-Pharmaceutical!AN35</f>
        <v>8438.4367330000005</v>
      </c>
      <c r="AT75" s="69">
        <f>Pharmaceutical!AO35-Pharmaceutical!AP35</f>
        <v>21.91801748831169</v>
      </c>
      <c r="AU75" s="49">
        <f>SQRT(Pharmaceutical!AQ35^2+Pharmaceutical!AR35^2)</f>
        <v>42.85760577253253</v>
      </c>
      <c r="AV75" s="146">
        <f>(Pharmaceutical!$AE35-1)*Pharmaceutical!$AQ35+(Pharmaceutical!$AF35-1)*Pharmaceutical!$AR35/(Pharmaceutical!$AE35+Pharmaceutical!$AF35-2)</f>
        <v>15705.790060172887</v>
      </c>
      <c r="AW75" s="37">
        <f>ABS(AT75)/(SQRT((Pharmaceutical!AQ35/Pharmaceutical!$AE35)+(Pharmaceutical!AR35/Pharmaceutical!$AF35)))</f>
        <v>58.665292560632992</v>
      </c>
      <c r="AX75" s="146">
        <f>(Pharmaceutical!AQ35^2/Pharmaceutical!$AE35+Pharmaceutical!AR35^2/Pharmaceutical!$AF35)/((Pharmaceutical!AQ35^2/Pharmaceutical!$AE35)/(Pharmaceutical!$AE35-1)+(Pharmaceutical!AR35^2/Pharmaceutical!$AF35)/(Pharmaceutical!$AF35-1))</f>
        <v>384</v>
      </c>
      <c r="AY75" s="124">
        <f t="shared" si="22"/>
        <v>1.9661609607071882</v>
      </c>
      <c r="AZ75" s="186">
        <f t="shared" si="23"/>
        <v>8.815658855214314E-194</v>
      </c>
    </row>
    <row r="76" spans="1:52" x14ac:dyDescent="0.25">
      <c r="A76" s="261"/>
      <c r="B76" s="5" t="s">
        <v>4</v>
      </c>
      <c r="C76" s="192">
        <f>Pharmaceutical!C36/IncidenceComplications!$G33</f>
        <v>0.46546151083443077</v>
      </c>
      <c r="D76" s="192">
        <f>Pharmaceutical!D36/IncidenceComplications!$G33</f>
        <v>0.24805459116485096</v>
      </c>
      <c r="E76" s="3">
        <f>Pharmaceutical!E36-Pharmaceutical!F36</f>
        <v>10884</v>
      </c>
      <c r="F76" s="37">
        <f>Pharmaceutical!G36-Pharmaceutical!H36</f>
        <v>0.43433496947204603</v>
      </c>
      <c r="G76" s="37">
        <f>SQRT(Pharmaceutical!I36^2+Pharmaceutical!J36^2)</f>
        <v>1.4586229029421407</v>
      </c>
      <c r="H76" s="146">
        <f>(Pharmaceutical!$C36-1)*Pharmaceutical!$I36+(Pharmaceutical!$D36-1)*Pharmaceutical!$J36/(Pharmaceutical!$C36+Pharmaceutical!$D36-2)</f>
        <v>14015.055246318598</v>
      </c>
      <c r="I76" s="37">
        <f>ABS(F76)/(SQRT((Pharmaceutical!I36/Pharmaceutical!$C36)+(Pharmaceutical!J36/Pharmaceutical!$D36)))</f>
        <v>28.270606477187577</v>
      </c>
      <c r="J76" s="146">
        <f>(Pharmaceutical!I36^2/Pharmaceutical!$C36+Pharmaceutical!J36^2/Pharmaceutical!$D36)/((Pharmaceutical!I36^2/Pharmaceutical!$C36)/(Pharmaceutical!$C36-1)+(Pharmaceutical!J36^2/Pharmaceutical!$D36)/(Pharmaceutical!$D36-1))</f>
        <v>8257.62037713057</v>
      </c>
      <c r="K76" s="124">
        <f t="shared" si="12"/>
        <v>1.9602513301977416</v>
      </c>
      <c r="L76" s="148">
        <f t="shared" si="13"/>
        <v>6.5155268936989627E-168</v>
      </c>
      <c r="M76" s="54">
        <f>Pharmaceutical!K36-Pharmaceutical!L36</f>
        <v>118847.96699999998</v>
      </c>
      <c r="N76" s="69">
        <f>Pharmaceutical!M36-Pharmaceutical!N36</f>
        <v>4.7427258470010774</v>
      </c>
      <c r="O76" s="49">
        <f>SQRT(Pharmaceutical!O36^2+Pharmaceutical!P36^2)</f>
        <v>23.451907518066314</v>
      </c>
      <c r="P76" s="146">
        <f>(Pharmaceutical!$C36-1)*Pharmaceutical!$O36+(Pharmaceutical!$D36-1)*Pharmaceutical!$P36/(Pharmaceutical!$C36+Pharmaceutical!$D36-2)</f>
        <v>219615.36695504235</v>
      </c>
      <c r="Q76" s="37">
        <f>ABS(N76)/(SQRT((Pharmaceutical!O36/Pharmaceutical!$C36)+(Pharmaceutical!P36/Pharmaceutical!$D36)))</f>
        <v>76.303804267100816</v>
      </c>
      <c r="R76" s="146">
        <f>(Pharmaceutical!O36^2/Pharmaceutical!$C36+Pharmaceutical!P36^2/Pharmaceutical!$D36)/((Pharmaceutical!O36^2/Pharmaceutical!$C36)/(Pharmaceutical!$C36-1)+(Pharmaceutical!P36^2/Pharmaceutical!$D36)/(Pharmaceutical!$D36-1))</f>
        <v>8067.4384589781412</v>
      </c>
      <c r="S76" s="124">
        <f t="shared" si="14"/>
        <v>1.9602580989754543</v>
      </c>
      <c r="T76" s="148">
        <f t="shared" si="15"/>
        <v>0</v>
      </c>
      <c r="U76" s="2">
        <f>Pharmaceutical!S36-Pharmaceutical!T36</f>
        <v>1049</v>
      </c>
      <c r="V76" s="37">
        <f>Pharmaceutical!U36-Pharmaceutical!V36</f>
        <v>1.143947655398037</v>
      </c>
      <c r="W76" s="37">
        <f>SQRT(Pharmaceutical!W36^2+Pharmaceutical!X36^2)</f>
        <v>1.7240910656603585</v>
      </c>
      <c r="X76" s="146">
        <f>(Pharmaceutical!$Q36-1)*Pharmaceutical!$W36+(Pharmaceutical!$R36-1)*Pharmaceutical!$X36/(Pharmaceutical!$Q36+Pharmaceutical!$R36-2)</f>
        <v>1371.4971345766446</v>
      </c>
      <c r="Y76" s="37">
        <f>ABS(V76)/(SQRT((Pharmaceutical!W36/Pharmaceutical!$Q36)+(Pharmaceutical!X36/Pharmaceutical!$R36)))</f>
        <v>22.58570974693901</v>
      </c>
      <c r="Z76" s="146">
        <f>(Pharmaceutical!W36^2/Pharmaceutical!$Q36+Pharmaceutical!X36^2/Pharmaceutical!$R36)/((Pharmaceutical!W36^2/Pharmaceutical!$Q36)/(Pharmaceutical!$Q36-1)+(Pharmaceutical!X36^2/Pharmaceutical!$R36)/(Pharmaceutical!$R36-1))</f>
        <v>916.00000000000011</v>
      </c>
      <c r="AA76" s="124">
        <f t="shared" si="16"/>
        <v>1.9625571675191154</v>
      </c>
      <c r="AB76" s="148">
        <f t="shared" si="17"/>
        <v>3.8789625664617437E-90</v>
      </c>
      <c r="AC76" s="54">
        <f>Pharmaceutical!Y36-Pharmaceutical!Z36</f>
        <v>12453.709047</v>
      </c>
      <c r="AD76" s="69">
        <f>Pharmaceutical!AA36-Pharmaceutical!AB36</f>
        <v>13.580925896401309</v>
      </c>
      <c r="AE76" s="49">
        <f>SQRT(Pharmaceutical!AC36^2+Pharmaceutical!AD36^2)</f>
        <v>31.931457738959114</v>
      </c>
      <c r="AF76" s="146">
        <f>(Pharmaceutical!$Q36-1)*Pharmaceutical!$AC36+(Pharmaceutical!$R36-1)*Pharmaceutical!$AD36/(Pharmaceutical!$Q36+Pharmaceutical!$R36-2)</f>
        <v>27424.104050339189</v>
      </c>
      <c r="AG76" s="37">
        <f>ABS(AD76)/(SQRT((Pharmaceutical!AC36/Pharmaceutical!$Q36)+(Pharmaceutical!AD36/Pharmaceutical!$R36)))</f>
        <v>64.186803865699773</v>
      </c>
      <c r="AH76" s="146">
        <f>(Pharmaceutical!AC36^2/Pharmaceutical!$Q36+Pharmaceutical!AD36^2/Pharmaceutical!$R36)/((Pharmaceutical!AC36^2/Pharmaceutical!$Q36)/(Pharmaceutical!$Q36-1)+(Pharmaceutical!AD36^2/Pharmaceutical!$R36)/(Pharmaceutical!$R36-1))</f>
        <v>915.99999999999989</v>
      </c>
      <c r="AI76" s="124">
        <f t="shared" si="18"/>
        <v>1.962560005286587</v>
      </c>
      <c r="AJ76" s="148">
        <f t="shared" si="19"/>
        <v>0</v>
      </c>
      <c r="AK76" s="2">
        <f>Pharmaceutical!AG36-Pharmaceutical!AH36</f>
        <v>802</v>
      </c>
      <c r="AL76" s="37">
        <f>Pharmaceutical!AI36-Pharmaceutical!AJ36</f>
        <v>1.2188449848024316</v>
      </c>
      <c r="AM76" s="37">
        <f>SQRT(Pharmaceutical!AK36^2+Pharmaceutical!AL36^2)</f>
        <v>2.0946606045743028</v>
      </c>
      <c r="AN76" s="146">
        <f>(Pharmaceutical!$AE36-1)*Pharmaceutical!$AK36+(Pharmaceutical!$AF36-1)*Pharmaceutical!$AL36/(Pharmaceutical!$AE36+Pharmaceutical!$AF36-2)</f>
        <v>1268.3788484015661</v>
      </c>
      <c r="AO76" s="37">
        <f>ABS(AL76)/(SQRT((Pharmaceutical!AK36/Pharmaceutical!$AE36)+(Pharmaceutical!AL36/Pharmaceutical!$AF36)))</f>
        <v>18.873734865663522</v>
      </c>
      <c r="AP76" s="146">
        <f>(Pharmaceutical!AK36^2/Pharmaceutical!$AE36+Pharmaceutical!AL36^2/Pharmaceutical!$AF36)/((Pharmaceutical!AK36^2/Pharmaceutical!$AE36)/(Pharmaceutical!$AE36-1)+(Pharmaceutical!AL36^2/Pharmaceutical!$AF36)/(Pharmaceutical!$AF36-1))</f>
        <v>657</v>
      </c>
      <c r="AQ76" s="124">
        <f t="shared" si="20"/>
        <v>1.9635812953430338</v>
      </c>
      <c r="AR76" s="148">
        <f t="shared" si="21"/>
        <v>8.2341653352476369E-64</v>
      </c>
      <c r="AS76" s="54">
        <f>Pharmaceutical!AM36-Pharmaceutical!AN36</f>
        <v>11036.620473000001</v>
      </c>
      <c r="AT76" s="69">
        <f>Pharmaceutical!AO36-Pharmaceutical!AP36</f>
        <v>16.772979442249241</v>
      </c>
      <c r="AU76" s="49">
        <f>SQRT(Pharmaceutical!AQ36^2+Pharmaceutical!AR36^2)</f>
        <v>36.42004076139051</v>
      </c>
      <c r="AV76" s="146">
        <f>(Pharmaceutical!$AE36-1)*Pharmaceutical!$AQ36+(Pharmaceutical!$AF36-1)*Pharmaceutical!$AR36/(Pharmaceutical!$AE36+Pharmaceutical!$AF36-2)</f>
        <v>19992.844488260627</v>
      </c>
      <c r="AW76" s="37">
        <f>ABS(AT76)/(SQRT((Pharmaceutical!AQ36/Pharmaceutical!$AE36)+(Pharmaceutical!AR36/Pharmaceutical!$AF36)))</f>
        <v>60.575774083183674</v>
      </c>
      <c r="AX76" s="146">
        <f>(Pharmaceutical!AQ36^2/Pharmaceutical!$AE36+Pharmaceutical!AR36^2/Pharmaceutical!$AF36)/((Pharmaceutical!AQ36^2/Pharmaceutical!$AE36)/(Pharmaceutical!$AE36-1)+(Pharmaceutical!AR36^2/Pharmaceutical!$AF36)/(Pharmaceutical!$AF36-1))</f>
        <v>657</v>
      </c>
      <c r="AY76" s="124">
        <f t="shared" si="22"/>
        <v>1.9635812953430338</v>
      </c>
      <c r="AZ76" s="186">
        <f t="shared" si="23"/>
        <v>4.2701961816278739E-271</v>
      </c>
    </row>
    <row r="77" spans="1:52" x14ac:dyDescent="0.25">
      <c r="A77" s="261"/>
      <c r="B77" s="5" t="s">
        <v>5</v>
      </c>
      <c r="C77" s="192">
        <f>Pharmaceutical!C37/IncidenceComplications!$G34</f>
        <v>0.54200500872732793</v>
      </c>
      <c r="D77" s="192">
        <f>Pharmaceutical!D37/IncidenceComplications!$G34</f>
        <v>0.29559080215527056</v>
      </c>
      <c r="E77" s="3">
        <f>Pharmaceutical!E37-Pharmaceutical!F37</f>
        <v>20909</v>
      </c>
      <c r="F77" s="37">
        <f>Pharmaceutical!G37-Pharmaceutical!H37</f>
        <v>0.52892666514887043</v>
      </c>
      <c r="G77" s="37">
        <f>SQRT(Pharmaceutical!I37^2+Pharmaceutical!J37^2)</f>
        <v>1.7203480568250766</v>
      </c>
      <c r="H77" s="146">
        <f>(Pharmaceutical!$C37-1)*Pharmaceutical!$I37+(Pharmaceutical!$D37-1)*Pharmaceutical!$J37/(Pharmaceutical!$C37+Pharmaceutical!$D37-2)</f>
        <v>29773.494197830609</v>
      </c>
      <c r="I77" s="37">
        <f>ABS(F77)/(SQRT((Pharmaceutical!I37/Pharmaceutical!$C37)+(Pharmaceutical!J37/Pharmaceutical!$D37)))</f>
        <v>42.951380998089192</v>
      </c>
      <c r="J77" s="146">
        <f>(Pharmaceutical!I37^2/Pharmaceutical!$C37+Pharmaceutical!J37^2/Pharmaceutical!$D37)/((Pharmaceutical!I37^2/Pharmaceutical!$C37)/(Pharmaceutical!$C37-1)+(Pharmaceutical!J37^2/Pharmaceutical!$D37)/(Pharmaceutical!$D37-1))</f>
        <v>15174.473722422354</v>
      </c>
      <c r="K77" s="124">
        <f t="shared" si="12"/>
        <v>1.9601203346940994</v>
      </c>
      <c r="L77" s="148">
        <f t="shared" si="13"/>
        <v>0</v>
      </c>
      <c r="M77" s="54">
        <f>Pharmaceutical!K37-Pharmaceutical!L37</f>
        <v>237133.32329999999</v>
      </c>
      <c r="N77" s="69">
        <f>Pharmaceutical!M37-Pharmaceutical!N37</f>
        <v>5.9986674584503303</v>
      </c>
      <c r="O77" s="49">
        <f>SQRT(Pharmaceutical!O37^2+Pharmaceutical!P37^2)</f>
        <v>31.028354597659337</v>
      </c>
      <c r="P77" s="146">
        <f>(Pharmaceutical!$C37-1)*Pharmaceutical!$O37+(Pharmaceutical!$D37-1)*Pharmaceutical!$P37/(Pharmaceutical!$C37+Pharmaceutical!$D37-2)</f>
        <v>517479.53378516529</v>
      </c>
      <c r="Q77" s="37">
        <f>ABS(N77)/(SQRT((Pharmaceutical!O37/Pharmaceutical!$C37)+(Pharmaceutical!P37/Pharmaceutical!$D37)))</f>
        <v>113.48152862611933</v>
      </c>
      <c r="R77" s="146">
        <f>(Pharmaceutical!O37^2/Pharmaceutical!$C37+Pharmaceutical!P37^2/Pharmaceutical!$D37)/((Pharmaceutical!O37^2/Pharmaceutical!$C37)/(Pharmaceutical!$C37-1)+(Pharmaceutical!P37^2/Pharmaceutical!$D37)/(Pharmaceutical!$D37-1))</f>
        <v>14740.667650908706</v>
      </c>
      <c r="S77" s="124">
        <f t="shared" si="14"/>
        <v>1.9601249385915598</v>
      </c>
      <c r="T77" s="148">
        <f t="shared" si="15"/>
        <v>0</v>
      </c>
      <c r="U77" s="2">
        <f>Pharmaceutical!S37-Pharmaceutical!T37</f>
        <v>1506</v>
      </c>
      <c r="V77" s="37">
        <f>Pharmaceutical!U37-Pharmaceutical!V37</f>
        <v>1.2395061728395063</v>
      </c>
      <c r="W77" s="37">
        <f>SQRT(Pharmaceutical!W37^2+Pharmaceutical!X37^2)</f>
        <v>2.1346541935844909</v>
      </c>
      <c r="X77" s="146">
        <f>(Pharmaceutical!$Q37-1)*Pharmaceutical!$W37+(Pharmaceutical!$R37-1)*Pharmaceutical!$X37/(Pharmaceutical!$Q37+Pharmaceutical!$R37-2)</f>
        <v>2219.8299081748019</v>
      </c>
      <c r="Y77" s="37">
        <f>ABS(V77)/(SQRT((Pharmaceutical!W37/Pharmaceutical!$Q37)+(Pharmaceutical!X37/Pharmaceutical!$R37)))</f>
        <v>25.239511381620542</v>
      </c>
      <c r="Z77" s="146">
        <f>(Pharmaceutical!W37^2/Pharmaceutical!$Q37+Pharmaceutical!X37^2/Pharmaceutical!$R37)/((Pharmaceutical!W37^2/Pharmaceutical!$Q37)/(Pharmaceutical!$Q37-1)+(Pharmaceutical!X37^2/Pharmaceutical!$R37)/(Pharmaceutical!$R37-1))</f>
        <v>1214</v>
      </c>
      <c r="AA77" s="124">
        <f t="shared" si="16"/>
        <v>1.9619199960087774</v>
      </c>
      <c r="AB77" s="148">
        <f t="shared" si="17"/>
        <v>2.4606260381888367E-113</v>
      </c>
      <c r="AC77" s="54">
        <f>Pharmaceutical!Y37-Pharmaceutical!Z37</f>
        <v>18611.11058</v>
      </c>
      <c r="AD77" s="69">
        <f>Pharmaceutical!AA37-Pharmaceutical!AB37</f>
        <v>15.317786485596709</v>
      </c>
      <c r="AE77" s="49">
        <f>SQRT(Pharmaceutical!AC37^2+Pharmaceutical!AD37^2)</f>
        <v>40.183936276989932</v>
      </c>
      <c r="AF77" s="146">
        <f>(Pharmaceutical!$Q37-1)*Pharmaceutical!$AC37+(Pharmaceutical!$R37-1)*Pharmaceutical!$AD37/(Pharmaceutical!$Q37+Pharmaceutical!$R37-2)</f>
        <v>42526.983763226272</v>
      </c>
      <c r="AG77" s="37">
        <f>ABS(AD77)/(SQRT((Pharmaceutical!AC37/Pharmaceutical!$Q37)+(Pharmaceutical!AD37/Pharmaceutical!$R37)))</f>
        <v>72.175921973421282</v>
      </c>
      <c r="AH77" s="146">
        <f>(Pharmaceutical!AC37^2/Pharmaceutical!$Q37+Pharmaceutical!AD37^2/Pharmaceutical!$R37)/((Pharmaceutical!AC37^2/Pharmaceutical!$Q37)/(Pharmaceutical!$Q37-1)+(Pharmaceutical!AD37^2/Pharmaceutical!$R37)/(Pharmaceutical!$R37-1))</f>
        <v>1214</v>
      </c>
      <c r="AI77" s="124">
        <f t="shared" si="18"/>
        <v>1.9619199960087774</v>
      </c>
      <c r="AJ77" s="148">
        <f t="shared" si="19"/>
        <v>0</v>
      </c>
      <c r="AK77" s="2">
        <f>Pharmaceutical!AG37-Pharmaceutical!AH37</f>
        <v>2178</v>
      </c>
      <c r="AL77" s="37">
        <f>Pharmaceutical!AI37-Pharmaceutical!AJ37</f>
        <v>1.2721962616822431</v>
      </c>
      <c r="AM77" s="37">
        <f>SQRT(Pharmaceutical!AK37^2+Pharmaceutical!AL37^2)</f>
        <v>2.0922620487306092</v>
      </c>
      <c r="AN77" s="146">
        <f>(Pharmaceutical!$AE37-1)*Pharmaceutical!$AK37+(Pharmaceutical!$AF37-1)*Pharmaceutical!$AL37/(Pharmaceutical!$AE37+Pharmaceutical!$AF37-2)</f>
        <v>3154.7946217317626</v>
      </c>
      <c r="AO77" s="37">
        <f>ABS(AL77)/(SQRT((Pharmaceutical!AK37/Pharmaceutical!$AE37)+(Pharmaceutical!AL37/Pharmaceutical!$AF37)))</f>
        <v>31.274263957948893</v>
      </c>
      <c r="AP77" s="146">
        <f>(Pharmaceutical!AK37^2/Pharmaceutical!$AE37+Pharmaceutical!AL37^2/Pharmaceutical!$AF37)/((Pharmaceutical!AK37^2/Pharmaceutical!$AE37)/(Pharmaceutical!$AE37-1)+(Pharmaceutical!AL37^2/Pharmaceutical!$AF37)/(Pharmaceutical!$AF37-1))</f>
        <v>1711</v>
      </c>
      <c r="AQ77" s="124">
        <f t="shared" si="20"/>
        <v>1.961351431485109</v>
      </c>
      <c r="AR77" s="148">
        <f t="shared" si="21"/>
        <v>3.3410237495645122E-170</v>
      </c>
      <c r="AS77" s="54">
        <f>Pharmaceutical!AM37-Pharmaceutical!AN37</f>
        <v>31133.787670000005</v>
      </c>
      <c r="AT77" s="69">
        <f>Pharmaceutical!AO37-Pharmaceutical!AP37</f>
        <v>18.185623639018694</v>
      </c>
      <c r="AU77" s="49">
        <f>SQRT(Pharmaceutical!AQ37^2+Pharmaceutical!AR37^2)</f>
        <v>38.738388427539086</v>
      </c>
      <c r="AV77" s="146">
        <f>(Pharmaceutical!$AE37-1)*Pharmaceutical!$AQ37+(Pharmaceutical!$AF37-1)*Pharmaceutical!$AR37/(Pharmaceutical!$AE37+Pharmaceutical!$AF37-2)</f>
        <v>61039.92803884959</v>
      </c>
      <c r="AW77" s="37">
        <f>ABS(AT77)/(SQRT((Pharmaceutical!AQ37/Pharmaceutical!$AE37)+(Pharmaceutical!AR37/Pharmaceutical!$AF37)))</f>
        <v>105.59343028284732</v>
      </c>
      <c r="AX77" s="146">
        <f>(Pharmaceutical!AQ37^2/Pharmaceutical!$AE37+Pharmaceutical!AR37^2/Pharmaceutical!$AF37)/((Pharmaceutical!AQ37^2/Pharmaceutical!$AE37)/(Pharmaceutical!$AE37-1)+(Pharmaceutical!AR37^2/Pharmaceutical!$AF37)/(Pharmaceutical!$AF37-1))</f>
        <v>1711</v>
      </c>
      <c r="AY77" s="124">
        <f t="shared" si="22"/>
        <v>1.961351431485109</v>
      </c>
      <c r="AZ77" s="186">
        <f t="shared" si="23"/>
        <v>0</v>
      </c>
    </row>
    <row r="78" spans="1:52" x14ac:dyDescent="0.25">
      <c r="A78" s="261"/>
      <c r="B78" s="6" t="s">
        <v>6</v>
      </c>
      <c r="C78" s="195">
        <f>Pharmaceutical!C38/IncidenceComplications!$G35</f>
        <v>0.59162417272431378</v>
      </c>
      <c r="D78" s="196">
        <f>Pharmaceutical!D38/IncidenceComplications!$G35</f>
        <v>0.34208527720516435</v>
      </c>
      <c r="E78" s="10">
        <f>Pharmaceutical!E38-Pharmaceutical!F38</f>
        <v>5576</v>
      </c>
      <c r="F78" s="39">
        <f>Pharmaceutical!G38-Pharmaceutical!H38</f>
        <v>0.60496907887599005</v>
      </c>
      <c r="G78" s="39">
        <f>SQRT(Pharmaceutical!I38^2+Pharmaceutical!J38^2)</f>
        <v>2.1338410235890817</v>
      </c>
      <c r="H78" s="182">
        <f>(Pharmaceutical!$C38-1)*Pharmaceutical!$I38+(Pharmaceutical!$D38-1)*Pharmaceutical!$J38/(Pharmaceutical!$C38+Pharmaceutical!$D38-2)</f>
        <v>9086.1479668478787</v>
      </c>
      <c r="I78" s="39">
        <f>ABS(F78)/(SQRT((Pharmaceutical!I38/Pharmaceutical!$C38)+(Pharmaceutical!J38/Pharmaceutical!$D38)))</f>
        <v>22.417209010426234</v>
      </c>
      <c r="J78" s="182">
        <f>(Pharmaceutical!I38^2/Pharmaceutical!$C38+Pharmaceutical!J38^2/Pharmaceutical!$D38)/((Pharmaceutical!I38^2/Pharmaceutical!$C38)/(Pharmaceutical!$C38-1)+(Pharmaceutical!J38^2/Pharmaceutical!$D38)/(Pharmaceutical!$D38-1))</f>
        <v>3941.5209035824423</v>
      </c>
      <c r="K78" s="24">
        <f t="shared" si="12"/>
        <v>1.96056611282809</v>
      </c>
      <c r="L78" s="27">
        <f t="shared" si="13"/>
        <v>7.4219128936631453E-105</v>
      </c>
      <c r="M78" s="55">
        <f>Pharmaceutical!K38-Pharmaceutical!L38</f>
        <v>68219.485800000024</v>
      </c>
      <c r="N78" s="75">
        <f>Pharmaceutical!M38-Pharmaceutical!N38</f>
        <v>7.4014848432244786</v>
      </c>
      <c r="O78" s="50">
        <f>SQRT(Pharmaceutical!O38^2+Pharmaceutical!P38^2)</f>
        <v>41.07383220999283</v>
      </c>
      <c r="P78" s="182">
        <f>(Pharmaceutical!$C38-1)*Pharmaceutical!$O38+(Pharmaceutical!$D38-1)*Pharmaceutical!$P38/(Pharmaceutical!$C38+Pharmaceutical!$D38-2)</f>
        <v>176033.61329809885</v>
      </c>
      <c r="Q78" s="39">
        <f>ABS(N78)/(SQRT((Pharmaceutical!O38/Pharmaceutical!$C38)+(Pharmaceutical!P38/Pharmaceutical!$D38)))</f>
        <v>62.613206258874889</v>
      </c>
      <c r="R78" s="182">
        <f>(Pharmaceutical!O38^2/Pharmaceutical!$C38+Pharmaceutical!P38^2/Pharmaceutical!$D38)/((Pharmaceutical!O38^2/Pharmaceutical!$C38)/(Pharmaceutical!$C38-1)+(Pharmaceutical!P38^2/Pharmaceutical!$D38)/(Pharmaceutical!$D38-1))</f>
        <v>3959.0083646685412</v>
      </c>
      <c r="S78" s="24">
        <f t="shared" si="14"/>
        <v>1.9605633743671285</v>
      </c>
      <c r="T78" s="27">
        <f t="shared" si="15"/>
        <v>0</v>
      </c>
      <c r="U78" s="8">
        <f>Pharmaceutical!S38-Pharmaceutical!T38</f>
        <v>361</v>
      </c>
      <c r="V78" s="39">
        <f>Pharmaceutical!U38-Pharmaceutical!V38</f>
        <v>1.0808383233532934</v>
      </c>
      <c r="W78" s="39">
        <f>SQRT(Pharmaceutical!W38^2+Pharmaceutical!X38^2)</f>
        <v>2.062742573674575</v>
      </c>
      <c r="X78" s="182">
        <f>(Pharmaceutical!$Q38-1)*Pharmaceutical!$W38+(Pharmaceutical!$R38-1)*Pharmaceutical!$X38/(Pharmaceutical!$Q38+Pharmaceutical!$R38-2)</f>
        <v>555.39546077067678</v>
      </c>
      <c r="Y78" s="39">
        <f>ABS(V78)/(SQRT((Pharmaceutical!W38/Pharmaceutical!$Q38)+(Pharmaceutical!X38/Pharmaceutical!$R38)))</f>
        <v>11.634995923142947</v>
      </c>
      <c r="Z78" s="182">
        <f>(Pharmaceutical!W38^2/Pharmaceutical!$Q38+Pharmaceutical!X38^2/Pharmaceutical!$R38)/((Pharmaceutical!W38^2/Pharmaceutical!$Q38)/(Pharmaceutical!$Q38-1)+(Pharmaceutical!X38^2/Pharmaceutical!$R38)/(Pharmaceutical!$R38-1))</f>
        <v>332.99999999999994</v>
      </c>
      <c r="AA78" s="24">
        <f t="shared" si="16"/>
        <v>1.967135056719064</v>
      </c>
      <c r="AB78" s="27">
        <f t="shared" si="17"/>
        <v>1.785327108147261E-26</v>
      </c>
      <c r="AC78" s="55">
        <f>Pharmaceutical!Y38-Pharmaceutical!Z38</f>
        <v>4282.0230449999999</v>
      </c>
      <c r="AD78" s="75">
        <f>Pharmaceutical!AA38-Pharmaceutical!AB38</f>
        <v>12.820428278443115</v>
      </c>
      <c r="AE78" s="50">
        <f>SQRT(Pharmaceutical!AC38^2+Pharmaceutical!AD38^2)</f>
        <v>32.511191274944707</v>
      </c>
      <c r="AF78" s="182">
        <f>(Pharmaceutical!$Q38-1)*Pharmaceutical!$AC38+(Pharmaceutical!$R38-1)*Pharmaceutical!$AD38/(Pharmaceutical!$Q38+Pharmaceutical!$R38-2)</f>
        <v>8666.1595794844561</v>
      </c>
      <c r="AG78" s="39">
        <f>ABS(AD78)/(SQRT((Pharmaceutical!AC38/Pharmaceutical!$Q38)+(Pharmaceutical!AD38/Pharmaceutical!$R38)))</f>
        <v>34.727496803873436</v>
      </c>
      <c r="AH78" s="182">
        <f>(Pharmaceutical!AC38^2/Pharmaceutical!$Q38+Pharmaceutical!AD38^2/Pharmaceutical!$R38)/((Pharmaceutical!AC38^2/Pharmaceutical!$Q38)/(Pharmaceutical!$Q38-1)+(Pharmaceutical!AD38^2/Pharmaceutical!$R38)/(Pharmaceutical!$R38-1))</f>
        <v>333</v>
      </c>
      <c r="AI78" s="24">
        <f t="shared" si="18"/>
        <v>1.9671134448822321</v>
      </c>
      <c r="AJ78" s="27">
        <f t="shared" si="19"/>
        <v>1.0110215474460779E-112</v>
      </c>
      <c r="AK78" s="8">
        <f>Pharmaceutical!AG38-Pharmaceutical!AH38</f>
        <v>820</v>
      </c>
      <c r="AL78" s="39">
        <f>Pharmaceutical!AI38-Pharmaceutical!AJ38</f>
        <v>1.0073710073710074</v>
      </c>
      <c r="AM78" s="39">
        <f>SQRT(Pharmaceutical!AK38^2+Pharmaceutical!AL38^2)</f>
        <v>2.6603508081758558</v>
      </c>
      <c r="AN78" s="182">
        <f>(Pharmaceutical!$AE38-1)*Pharmaceutical!$AK38+(Pharmaceutical!$AF38-1)*Pharmaceutical!$AL38/(Pharmaceutical!$AE38+Pharmaceutical!$AF38-2)</f>
        <v>1688.8050024105949</v>
      </c>
      <c r="AO78" s="39">
        <f>ABS(AL78)/(SQRT((Pharmaceutical!AK38/Pharmaceutical!$AE38)+(Pharmaceutical!AL38/Pharmaceutical!$AF38)))</f>
        <v>14.862441836786999</v>
      </c>
      <c r="AP78" s="182">
        <f>(Pharmaceutical!AK38^2/Pharmaceutical!$AE38+Pharmaceutical!AL38^2/Pharmaceutical!$AF38)/((Pharmaceutical!AK38^2/Pharmaceutical!$AE38)/(Pharmaceutical!$AE38-1)+(Pharmaceutical!AL38^2/Pharmaceutical!$AF38)/(Pharmaceutical!$AF38-1))</f>
        <v>813.00000000000011</v>
      </c>
      <c r="AQ78" s="24">
        <f t="shared" si="20"/>
        <v>1.9628861823359878</v>
      </c>
      <c r="AR78" s="27">
        <f t="shared" si="21"/>
        <v>2.2263167174049615E-44</v>
      </c>
      <c r="AS78" s="55">
        <f>Pharmaceutical!AM38-Pharmaceutical!AN38</f>
        <v>12478.758660000003</v>
      </c>
      <c r="AT78" s="75">
        <f>Pharmaceutical!AO38-Pharmaceutical!AP38</f>
        <v>15.330170343980347</v>
      </c>
      <c r="AU78" s="50">
        <f>SQRT(Pharmaceutical!AQ38^2+Pharmaceutical!AR38^2)</f>
        <v>42.027094825382925</v>
      </c>
      <c r="AV78" s="182">
        <f>(Pharmaceutical!$AE38-1)*Pharmaceutical!$AQ38+(Pharmaceutical!$AF38-1)*Pharmaceutical!$AR38/(Pharmaceutical!$AE38+Pharmaceutical!$AF38-2)</f>
        <v>28102.1992389597</v>
      </c>
      <c r="AW78" s="39">
        <f>ABS(AT78)/(SQRT((Pharmaceutical!AQ38/Pharmaceutical!$AE38)+(Pharmaceutical!AR38/Pharmaceutical!$AF38)))</f>
        <v>57.195674858375391</v>
      </c>
      <c r="AX78" s="182">
        <f>(Pharmaceutical!AQ38^2/Pharmaceutical!$AE38+Pharmaceutical!AR38^2/Pharmaceutical!$AF38)/((Pharmaceutical!AQ38^2/Pharmaceutical!$AE38)/(Pharmaceutical!$AE38-1)+(Pharmaceutical!AR38^2/Pharmaceutical!$AF38)/(Pharmaceutical!$AF38-1))</f>
        <v>813.00000000000011</v>
      </c>
      <c r="AY78" s="24">
        <f t="shared" si="22"/>
        <v>1.9628861823359878</v>
      </c>
      <c r="AZ78" s="187">
        <f t="shared" si="23"/>
        <v>3.352437219097433E-287</v>
      </c>
    </row>
    <row r="79" spans="1:52" ht="15.75" thickBot="1" x14ac:dyDescent="0.3">
      <c r="A79" s="262"/>
      <c r="B79" s="15" t="s">
        <v>14</v>
      </c>
      <c r="C79" s="193">
        <f>Pharmaceutical!C39/IncidenceComplications!$G36</f>
        <v>0.57395702973004237</v>
      </c>
      <c r="D79" s="194">
        <f>Pharmaceutical!D39/IncidenceComplications!$G36</f>
        <v>0.3240332740905888</v>
      </c>
      <c r="E79" s="16">
        <f>Pharmaceutical!E39-Pharmaceutical!F39</f>
        <v>62281</v>
      </c>
      <c r="F79" s="40">
        <f>Pharmaceutical!G39-Pharmaceutical!H39</f>
        <v>0.65497586471621327</v>
      </c>
      <c r="G79" s="40">
        <f>SQRT(Pharmaceutical!I39^2+Pharmaceutical!J39^2)</f>
        <v>2.7887409253346296</v>
      </c>
      <c r="H79" s="183">
        <f>(Pharmaceutical!$C39-1)*Pharmaceutical!$I39+(Pharmaceutical!$D39-1)*Pharmaceutical!$J39/(Pharmaceutical!$C39+Pharmaceutical!$D39-2)</f>
        <v>118277.72345046968</v>
      </c>
      <c r="I79" s="40">
        <f>ABS(F79)/(SQRT((Pharmaceutical!I39/Pharmaceutical!$C39)+(Pharmaceutical!J39/Pharmaceutical!$D39)))</f>
        <v>66.616102031445024</v>
      </c>
      <c r="J79" s="183">
        <f>(Pharmaceutical!I39^2/Pharmaceutical!$C39+Pharmaceutical!J39^2/Pharmaceutical!$D39)/((Pharmaceutical!I39^2/Pharmaceutical!$C39)/(Pharmaceutical!$C39-1)+(Pharmaceutical!J39^2/Pharmaceutical!$D39)/(Pharmaceutical!$D39-1))</f>
        <v>38583.159978764321</v>
      </c>
      <c r="K79" s="25">
        <f t="shared" si="12"/>
        <v>1.9600254713186038</v>
      </c>
      <c r="L79" s="28">
        <f t="shared" si="13"/>
        <v>0</v>
      </c>
      <c r="M79" s="74">
        <f>Pharmaceutical!K39-Pharmaceutical!L39</f>
        <v>592449.56785999995</v>
      </c>
      <c r="N79" s="77">
        <f>Pharmaceutical!M39-Pharmaceutical!N39</f>
        <v>6.2304742699996849</v>
      </c>
      <c r="O79" s="57">
        <f>SQRT(Pharmaceutical!O39^2+Pharmaceutical!P39^2)</f>
        <v>39.163849953020737</v>
      </c>
      <c r="P79" s="183">
        <f>(Pharmaceutical!$C39-1)*Pharmaceutical!$O39+(Pharmaceutical!$D39-1)*Pharmaceutical!$P39/(Pharmaceutical!$C39+Pharmaceutical!$D39-2)</f>
        <v>1572449.0039071585</v>
      </c>
      <c r="Q79" s="40">
        <f>ABS(N79)/(SQRT((Pharmaceutical!O39/Pharmaceutical!$C39)+(Pharmaceutical!P39/Pharmaceutical!$D39)))</f>
        <v>167.18391812784569</v>
      </c>
      <c r="R79" s="183">
        <f>(Pharmaceutical!O39^2/Pharmaceutical!$C39+Pharmaceutical!P39^2/Pharmaceutical!$D39)/((Pharmaceutical!O39^2/Pharmaceutical!$C39)/(Pharmaceutical!$C39-1)+(Pharmaceutical!P39^2/Pharmaceutical!$D39)/(Pharmaceutical!$D39-1))</f>
        <v>37304.875740133437</v>
      </c>
      <c r="S79" s="25">
        <f t="shared" si="14"/>
        <v>1.9600275795124382</v>
      </c>
      <c r="T79" s="28">
        <f t="shared" si="15"/>
        <v>0</v>
      </c>
      <c r="U79" s="35">
        <f>Pharmaceutical!S39-Pharmaceutical!T39</f>
        <v>12704</v>
      </c>
      <c r="V79" s="40">
        <f>Pharmaceutical!U39-Pharmaceutical!V39</f>
        <v>1.9659548127514701</v>
      </c>
      <c r="W79" s="40">
        <f>SQRT(Pharmaceutical!W39^2+Pharmaceutical!X39^2)</f>
        <v>3.0967247305431855</v>
      </c>
      <c r="X79" s="183">
        <f>(Pharmaceutical!$Q39-1)*Pharmaceutical!$W39+(Pharmaceutical!$R39-1)*Pharmaceutical!$X39/(Pharmaceutical!$Q39+Pharmaceutical!$R39-2)</f>
        <v>16215.701597637219</v>
      </c>
      <c r="Y79" s="40">
        <f>ABS(V79)/(SQRT((Pharmaceutical!W39/Pharmaceutical!$Q39)+(Pharmaceutical!X39/Pharmaceutical!$R39)))</f>
        <v>76.001295170204628</v>
      </c>
      <c r="Z79" s="183">
        <f>(Pharmaceutical!W39^2/Pharmaceutical!$Q39+Pharmaceutical!X39^2/Pharmaceutical!$R39)/((Pharmaceutical!W39^2/Pharmaceutical!$Q39)/(Pharmaceutical!$Q39-1)+(Pharmaceutical!X39^2/Pharmaceutical!$R39)/(Pharmaceutical!$R39-1))</f>
        <v>6460.9999999999991</v>
      </c>
      <c r="AA79" s="25">
        <f t="shared" si="16"/>
        <v>1.9603312768328214</v>
      </c>
      <c r="AB79" s="28">
        <f t="shared" si="17"/>
        <v>0</v>
      </c>
      <c r="AC79" s="74">
        <f>Pharmaceutical!Y39-Pharmaceutical!Z39</f>
        <v>99878.642021999985</v>
      </c>
      <c r="AD79" s="77">
        <f>Pharmaceutical!AA39-Pharmaceutical!AB39</f>
        <v>15.456304862581243</v>
      </c>
      <c r="AE79" s="57">
        <f>SQRT(Pharmaceutical!AC39^2+Pharmaceutical!AD39^2)</f>
        <v>31.42398214352124</v>
      </c>
      <c r="AF79" s="183">
        <f>(Pharmaceutical!$Q39-1)*Pharmaceutical!$AC39+(Pharmaceutical!$R39-1)*Pharmaceutical!$AD39/(Pharmaceutical!$Q39+Pharmaceutical!$R39-2)</f>
        <v>171458.22030564045</v>
      </c>
      <c r="AG79" s="40">
        <f>ABS(AD79)/(SQRT((Pharmaceutical!AC39/Pharmaceutical!$Q39)+(Pharmaceutical!AD39/Pharmaceutical!$R39)))</f>
        <v>188.67140791882849</v>
      </c>
      <c r="AH79" s="183">
        <f>(Pharmaceutical!AC39^2/Pharmaceutical!$Q39+Pharmaceutical!AD39^2/Pharmaceutical!$R39)/((Pharmaceutical!AC39^2/Pharmaceutical!$Q39)/(Pharmaceutical!$Q39-1)+(Pharmaceutical!AD39^2/Pharmaceutical!$R39)/(Pharmaceutical!$R39-1))</f>
        <v>6460.9999999999991</v>
      </c>
      <c r="AI79" s="25">
        <f t="shared" si="18"/>
        <v>1.9603312768328214</v>
      </c>
      <c r="AJ79" s="28">
        <f t="shared" si="19"/>
        <v>0</v>
      </c>
      <c r="AK79" s="35">
        <f>Pharmaceutical!AG39-Pharmaceutical!AH39</f>
        <v>7397</v>
      </c>
      <c r="AL79" s="40">
        <f>Pharmaceutical!AI39-Pharmaceutical!AJ39</f>
        <v>1.5308360927152318</v>
      </c>
      <c r="AM79" s="40">
        <f>SQRT(Pharmaceutical!AK39^2+Pharmaceutical!AL39^2)</f>
        <v>3.2887872076098712</v>
      </c>
      <c r="AN79" s="183">
        <f>(Pharmaceutical!$AE39-1)*Pharmaceutical!$AK39+(Pharmaceutical!$AF39-1)*Pharmaceutical!$AL39/(Pharmaceutical!$AE39+Pharmaceutical!$AF39-2)</f>
        <v>13275.660773878555</v>
      </c>
      <c r="AO79" s="40">
        <f>ABS(AL79)/(SQRT((Pharmaceutical!AK39/Pharmaceutical!$AE39)+(Pharmaceutical!AL39/Pharmaceutical!$AF39)))</f>
        <v>49.859971901229621</v>
      </c>
      <c r="AP79" s="183">
        <f>(Pharmaceutical!AK39^2/Pharmaceutical!$AE39+Pharmaceutical!AL39^2/Pharmaceutical!$AF39)/((Pharmaceutical!AK39^2/Pharmaceutical!$AE39)/(Pharmaceutical!$AE39-1)+(Pharmaceutical!AL39^2/Pharmaceutical!$AF39)/(Pharmaceutical!$AF39-1))</f>
        <v>4831</v>
      </c>
      <c r="AQ79" s="25">
        <f t="shared" si="20"/>
        <v>1.9604551572968021</v>
      </c>
      <c r="AR79" s="28">
        <f t="shared" si="21"/>
        <v>0</v>
      </c>
      <c r="AS79" s="74">
        <f>Pharmaceutical!AM39-Pharmaceutical!AN39</f>
        <v>84954.889410000003</v>
      </c>
      <c r="AT79" s="77">
        <f>Pharmaceutical!AO39-Pharmaceutical!AP39</f>
        <v>17.581723801738409</v>
      </c>
      <c r="AU79" s="57">
        <f>SQRT(Pharmaceutical!AQ39^2+Pharmaceutical!AR39^2)</f>
        <v>36.512896760492367</v>
      </c>
      <c r="AV79" s="183">
        <f>(Pharmaceutical!$AE39-1)*Pharmaceutical!$AQ39+(Pharmaceutical!$AF39-1)*Pharmaceutical!$AR39/(Pharmaceutical!$AE39+Pharmaceutical!$AF39-2)</f>
        <v>153795.50282301017</v>
      </c>
      <c r="AW79" s="40">
        <f>ABS(AT79)/(SQRT((Pharmaceutical!AQ39/Pharmaceutical!$AE39)+(Pharmaceutical!AR39/Pharmaceutical!$AF39)))</f>
        <v>173.32917016605663</v>
      </c>
      <c r="AX79" s="183">
        <f>(Pharmaceutical!AQ39^2/Pharmaceutical!$AE39+Pharmaceutical!AR39^2/Pharmaceutical!$AF39)/((Pharmaceutical!AQ39^2/Pharmaceutical!$AE39)/(Pharmaceutical!$AE39-1)+(Pharmaceutical!AR39^2/Pharmaceutical!$AF39)/(Pharmaceutical!$AF39-1))</f>
        <v>4831.0000000000009</v>
      </c>
      <c r="AY79" s="25">
        <f t="shared" si="22"/>
        <v>1.9604551572968021</v>
      </c>
      <c r="AZ79" s="188">
        <f t="shared" si="23"/>
        <v>0</v>
      </c>
    </row>
    <row r="80" spans="1:52" ht="15.75" thickTop="1" x14ac:dyDescent="0.25"/>
  </sheetData>
  <mergeCells count="59">
    <mergeCell ref="AN45:AR45"/>
    <mergeCell ref="AS45:AU45"/>
    <mergeCell ref="AV45:AZ45"/>
    <mergeCell ref="U45:W45"/>
    <mergeCell ref="X45:AB45"/>
    <mergeCell ref="AC45:AE45"/>
    <mergeCell ref="AF45:AJ45"/>
    <mergeCell ref="AK45:AM45"/>
    <mergeCell ref="A55:A62"/>
    <mergeCell ref="A63:A70"/>
    <mergeCell ref="A71:B71"/>
    <mergeCell ref="A72:A79"/>
    <mergeCell ref="U43:AJ43"/>
    <mergeCell ref="A47:A54"/>
    <mergeCell ref="C45:D46"/>
    <mergeCell ref="E45:G45"/>
    <mergeCell ref="H45:L45"/>
    <mergeCell ref="M45:O45"/>
    <mergeCell ref="P45:T45"/>
    <mergeCell ref="AK43:AZ43"/>
    <mergeCell ref="E44:L44"/>
    <mergeCell ref="M44:T44"/>
    <mergeCell ref="U44:AB44"/>
    <mergeCell ref="AC44:AJ44"/>
    <mergeCell ref="AK44:AR44"/>
    <mergeCell ref="AS44:AZ44"/>
    <mergeCell ref="O5:P5"/>
    <mergeCell ref="Q4:R5"/>
    <mergeCell ref="A32:A39"/>
    <mergeCell ref="A31:B31"/>
    <mergeCell ref="A43:B45"/>
    <mergeCell ref="E5:F5"/>
    <mergeCell ref="G5:H5"/>
    <mergeCell ref="I5:J5"/>
    <mergeCell ref="K5:L5"/>
    <mergeCell ref="M5:N5"/>
    <mergeCell ref="A23:A30"/>
    <mergeCell ref="U5:V5"/>
    <mergeCell ref="W5:X5"/>
    <mergeCell ref="AI5:AJ5"/>
    <mergeCell ref="AK5:AL5"/>
    <mergeCell ref="AM5:AN5"/>
    <mergeCell ref="AE4:AF5"/>
    <mergeCell ref="Q3:AD3"/>
    <mergeCell ref="AE3:AR3"/>
    <mergeCell ref="Y5:Z5"/>
    <mergeCell ref="AA5:AB5"/>
    <mergeCell ref="A15:A22"/>
    <mergeCell ref="A3:B5"/>
    <mergeCell ref="A7:A14"/>
    <mergeCell ref="AC5:AD5"/>
    <mergeCell ref="AG5:AH5"/>
    <mergeCell ref="C3:D5"/>
    <mergeCell ref="E4:J4"/>
    <mergeCell ref="K4:P4"/>
    <mergeCell ref="E3:P3"/>
    <mergeCell ref="AO5:AP5"/>
    <mergeCell ref="AQ5:AR5"/>
    <mergeCell ref="S5:T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R240"/>
  <sheetViews>
    <sheetView topLeftCell="A22" zoomScale="85" zoomScaleNormal="85" workbookViewId="0">
      <selection activeCell="M64" sqref="M64"/>
    </sheetView>
  </sheetViews>
  <sheetFormatPr baseColWidth="10" defaultRowHeight="15" x14ac:dyDescent="0.25"/>
  <cols>
    <col min="11" max="11" width="13.140625" bestFit="1" customWidth="1"/>
  </cols>
  <sheetData>
    <row r="3" spans="1:44" x14ac:dyDescent="0.25">
      <c r="A3" s="268" t="s">
        <v>36</v>
      </c>
      <c r="B3" s="268"/>
      <c r="C3" s="270" t="s">
        <v>39</v>
      </c>
      <c r="D3" s="272"/>
      <c r="E3" s="264" t="s">
        <v>40</v>
      </c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65"/>
      <c r="Q3" s="264" t="s">
        <v>22</v>
      </c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65"/>
      <c r="AE3" s="264" t="s">
        <v>23</v>
      </c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65"/>
    </row>
    <row r="4" spans="1:44" x14ac:dyDescent="0.25">
      <c r="A4" s="268"/>
      <c r="B4" s="268"/>
      <c r="C4" s="270"/>
      <c r="D4" s="272"/>
      <c r="E4" s="264" t="s">
        <v>49</v>
      </c>
      <c r="F4" s="255"/>
      <c r="G4" s="255"/>
      <c r="H4" s="255"/>
      <c r="I4" s="255"/>
      <c r="J4" s="265"/>
      <c r="K4" s="264" t="s">
        <v>30</v>
      </c>
      <c r="L4" s="255"/>
      <c r="M4" s="255"/>
      <c r="N4" s="255"/>
      <c r="O4" s="255"/>
      <c r="P4" s="265"/>
      <c r="Q4" s="270" t="s">
        <v>39</v>
      </c>
      <c r="R4" s="271"/>
      <c r="S4" s="264" t="s">
        <v>49</v>
      </c>
      <c r="T4" s="255"/>
      <c r="U4" s="255"/>
      <c r="V4" s="255"/>
      <c r="W4" s="255"/>
      <c r="X4" s="265"/>
      <c r="Y4" s="91" t="s">
        <v>30</v>
      </c>
      <c r="Z4" s="41"/>
      <c r="AA4" s="41"/>
      <c r="AB4" s="41"/>
      <c r="AC4" s="41"/>
      <c r="AD4" s="92"/>
      <c r="AE4" s="270" t="s">
        <v>39</v>
      </c>
      <c r="AF4" s="271"/>
      <c r="AG4" s="91" t="s">
        <v>29</v>
      </c>
      <c r="AH4" s="41"/>
      <c r="AI4" s="41"/>
      <c r="AJ4" s="41"/>
      <c r="AK4" s="41"/>
      <c r="AL4" s="92"/>
      <c r="AM4" s="91" t="s">
        <v>30</v>
      </c>
      <c r="AN4" s="41"/>
      <c r="AO4" s="41"/>
      <c r="AP4" s="41"/>
      <c r="AQ4" s="41"/>
      <c r="AR4" s="92"/>
    </row>
    <row r="5" spans="1:44" x14ac:dyDescent="0.25">
      <c r="A5" s="268"/>
      <c r="B5" s="268"/>
      <c r="C5" s="270"/>
      <c r="D5" s="272"/>
      <c r="E5" s="264" t="s">
        <v>26</v>
      </c>
      <c r="F5" s="265"/>
      <c r="G5" s="264" t="s">
        <v>27</v>
      </c>
      <c r="H5" s="265"/>
      <c r="I5" s="264" t="s">
        <v>28</v>
      </c>
      <c r="J5" s="265"/>
      <c r="K5" s="264" t="s">
        <v>26</v>
      </c>
      <c r="L5" s="265"/>
      <c r="M5" s="264" t="s">
        <v>27</v>
      </c>
      <c r="N5" s="265"/>
      <c r="O5" s="264" t="s">
        <v>28</v>
      </c>
      <c r="P5" s="265"/>
      <c r="Q5" s="270"/>
      <c r="R5" s="271"/>
      <c r="S5" s="264" t="s">
        <v>26</v>
      </c>
      <c r="T5" s="265"/>
      <c r="U5" s="264" t="s">
        <v>27</v>
      </c>
      <c r="V5" s="265"/>
      <c r="W5" s="264" t="s">
        <v>28</v>
      </c>
      <c r="X5" s="265"/>
      <c r="Y5" s="264" t="s">
        <v>26</v>
      </c>
      <c r="Z5" s="265"/>
      <c r="AA5" s="264" t="s">
        <v>27</v>
      </c>
      <c r="AB5" s="265"/>
      <c r="AC5" s="264" t="s">
        <v>28</v>
      </c>
      <c r="AD5" s="265"/>
      <c r="AE5" s="270"/>
      <c r="AF5" s="271"/>
      <c r="AG5" s="264" t="s">
        <v>26</v>
      </c>
      <c r="AH5" s="265"/>
      <c r="AI5" s="264" t="s">
        <v>27</v>
      </c>
      <c r="AJ5" s="265"/>
      <c r="AK5" s="264" t="s">
        <v>28</v>
      </c>
      <c r="AL5" s="265"/>
      <c r="AM5" s="264" t="s">
        <v>26</v>
      </c>
      <c r="AN5" s="265"/>
      <c r="AO5" s="264" t="s">
        <v>27</v>
      </c>
      <c r="AP5" s="265"/>
      <c r="AQ5" s="264" t="s">
        <v>28</v>
      </c>
      <c r="AR5" s="265"/>
    </row>
    <row r="6" spans="1:44" x14ac:dyDescent="0.25">
      <c r="A6" s="6" t="s">
        <v>7</v>
      </c>
      <c r="B6" s="6" t="s">
        <v>8</v>
      </c>
      <c r="C6" s="8" t="s">
        <v>24</v>
      </c>
      <c r="D6" s="6" t="s">
        <v>25</v>
      </c>
      <c r="E6" s="8" t="s">
        <v>24</v>
      </c>
      <c r="F6" s="6" t="s">
        <v>25</v>
      </c>
      <c r="G6" s="8" t="s">
        <v>24</v>
      </c>
      <c r="H6" s="6" t="s">
        <v>25</v>
      </c>
      <c r="I6" s="8" t="s">
        <v>24</v>
      </c>
      <c r="J6" s="6" t="s">
        <v>25</v>
      </c>
      <c r="K6" s="8" t="s">
        <v>24</v>
      </c>
      <c r="L6" s="6" t="s">
        <v>25</v>
      </c>
      <c r="M6" s="8" t="s">
        <v>24</v>
      </c>
      <c r="N6" s="6" t="s">
        <v>25</v>
      </c>
      <c r="O6" s="8" t="s">
        <v>24</v>
      </c>
      <c r="P6" s="6" t="s">
        <v>25</v>
      </c>
      <c r="Q6" s="8" t="s">
        <v>24</v>
      </c>
      <c r="R6" s="53" t="s">
        <v>25</v>
      </c>
      <c r="S6" s="8" t="s">
        <v>24</v>
      </c>
      <c r="T6" s="6" t="s">
        <v>25</v>
      </c>
      <c r="U6" s="8" t="s">
        <v>24</v>
      </c>
      <c r="V6" s="6" t="s">
        <v>25</v>
      </c>
      <c r="W6" s="8" t="s">
        <v>24</v>
      </c>
      <c r="X6" s="6" t="s">
        <v>25</v>
      </c>
      <c r="Y6" s="8" t="s">
        <v>24</v>
      </c>
      <c r="Z6" s="6" t="s">
        <v>25</v>
      </c>
      <c r="AA6" s="8" t="s">
        <v>24</v>
      </c>
      <c r="AB6" s="6" t="s">
        <v>25</v>
      </c>
      <c r="AC6" s="8" t="s">
        <v>24</v>
      </c>
      <c r="AD6" s="6" t="s">
        <v>25</v>
      </c>
      <c r="AE6" s="8" t="s">
        <v>24</v>
      </c>
      <c r="AF6" s="53" t="s">
        <v>25</v>
      </c>
      <c r="AG6" s="8" t="s">
        <v>24</v>
      </c>
      <c r="AH6" s="6" t="s">
        <v>25</v>
      </c>
      <c r="AI6" s="8" t="s">
        <v>24</v>
      </c>
      <c r="AJ6" s="6" t="s">
        <v>25</v>
      </c>
      <c r="AK6" s="8" t="s">
        <v>24</v>
      </c>
      <c r="AL6" s="6" t="s">
        <v>25</v>
      </c>
      <c r="AM6" s="8" t="s">
        <v>24</v>
      </c>
      <c r="AN6" s="6" t="s">
        <v>25</v>
      </c>
      <c r="AO6" s="8" t="s">
        <v>24</v>
      </c>
      <c r="AP6" s="6" t="s">
        <v>25</v>
      </c>
      <c r="AQ6" s="8" t="s">
        <v>24</v>
      </c>
      <c r="AR6" s="53" t="s">
        <v>25</v>
      </c>
    </row>
    <row r="7" spans="1:44" x14ac:dyDescent="0.25">
      <c r="A7" s="260">
        <v>2012</v>
      </c>
      <c r="B7" s="12" t="s">
        <v>0</v>
      </c>
      <c r="C7" s="2"/>
      <c r="E7" s="2"/>
      <c r="G7" s="71" t="str">
        <f>IF($C7,E7/$C7,"")</f>
        <v/>
      </c>
      <c r="H7" s="115"/>
      <c r="I7" s="37"/>
      <c r="J7" s="37"/>
      <c r="K7" s="73"/>
      <c r="L7" s="94"/>
      <c r="M7" s="68"/>
      <c r="N7" s="95"/>
      <c r="O7" s="95"/>
      <c r="P7" s="96"/>
      <c r="Q7" s="2">
        <f t="shared" ref="Q7:R13" si="0">Q47+Q87</f>
        <v>0</v>
      </c>
      <c r="R7" s="102">
        <f t="shared" si="0"/>
        <v>0</v>
      </c>
      <c r="S7" s="115"/>
      <c r="U7" s="37" t="str">
        <f t="shared" ref="U7:V14" si="1">IF(Q7,S7/Q7,"")</f>
        <v/>
      </c>
      <c r="V7" s="37" t="str">
        <f t="shared" si="1"/>
        <v/>
      </c>
      <c r="W7" s="37"/>
      <c r="X7" s="37"/>
      <c r="Y7" s="73"/>
      <c r="Z7" s="49"/>
      <c r="AA7" s="68"/>
      <c r="AB7" s="68"/>
      <c r="AC7" s="69"/>
      <c r="AD7" s="69"/>
      <c r="AE7" s="2">
        <f t="shared" ref="AE7:AF13" si="2">AE47+AE87</f>
        <v>0</v>
      </c>
      <c r="AF7" s="102">
        <f t="shared" si="2"/>
        <v>0</v>
      </c>
      <c r="AG7" s="90"/>
      <c r="AH7" s="5"/>
      <c r="AI7" s="71"/>
      <c r="AJ7" s="71"/>
      <c r="AK7" s="37"/>
      <c r="AL7" s="37"/>
      <c r="AM7" s="73"/>
      <c r="AN7" s="51"/>
      <c r="AO7" s="68"/>
      <c r="AP7" s="68"/>
      <c r="AQ7" s="68"/>
      <c r="AR7" s="78"/>
    </row>
    <row r="8" spans="1:44" x14ac:dyDescent="0.25">
      <c r="A8" s="261"/>
      <c r="B8" s="5" t="s">
        <v>1</v>
      </c>
      <c r="C8" s="2"/>
      <c r="E8" s="2"/>
      <c r="G8" s="71" t="str">
        <f t="shared" ref="G8:G14" si="3">IF(C8,E8/C8,"")</f>
        <v/>
      </c>
      <c r="H8" s="115"/>
      <c r="I8" s="37"/>
      <c r="J8" s="37"/>
      <c r="K8" s="54"/>
      <c r="L8" s="51"/>
      <c r="M8" s="68"/>
      <c r="N8" s="68"/>
      <c r="O8" s="68"/>
      <c r="P8" s="78"/>
      <c r="Q8" s="2">
        <f t="shared" si="0"/>
        <v>0</v>
      </c>
      <c r="R8" s="102">
        <f t="shared" si="0"/>
        <v>0</v>
      </c>
      <c r="S8" s="115"/>
      <c r="U8" s="37" t="str">
        <f t="shared" si="1"/>
        <v/>
      </c>
      <c r="V8" s="37" t="str">
        <f t="shared" si="1"/>
        <v/>
      </c>
      <c r="W8" s="37"/>
      <c r="X8" s="37"/>
      <c r="Y8" s="54"/>
      <c r="Z8" s="49"/>
      <c r="AA8" s="68"/>
      <c r="AB8" s="68"/>
      <c r="AC8" s="69"/>
      <c r="AD8" s="69"/>
      <c r="AE8" s="2">
        <f t="shared" si="2"/>
        <v>0</v>
      </c>
      <c r="AF8" s="102">
        <f t="shared" si="2"/>
        <v>0</v>
      </c>
      <c r="AG8" s="2"/>
      <c r="AH8" s="5"/>
      <c r="AI8" s="71"/>
      <c r="AJ8" s="71"/>
      <c r="AK8" s="37"/>
      <c r="AL8" s="37"/>
      <c r="AM8" s="54"/>
      <c r="AN8" s="51"/>
      <c r="AO8" s="68"/>
      <c r="AP8" s="68"/>
      <c r="AQ8" s="68"/>
      <c r="AR8" s="78"/>
    </row>
    <row r="9" spans="1:44" x14ac:dyDescent="0.25">
      <c r="A9" s="261"/>
      <c r="B9" s="5" t="s">
        <v>2</v>
      </c>
      <c r="C9" s="2"/>
      <c r="E9" s="2"/>
      <c r="G9" s="71" t="str">
        <f t="shared" si="3"/>
        <v/>
      </c>
      <c r="H9" s="115"/>
      <c r="I9" s="37"/>
      <c r="J9" s="37"/>
      <c r="K9" s="54"/>
      <c r="L9" s="51"/>
      <c r="M9" s="68"/>
      <c r="N9" s="68"/>
      <c r="O9" s="68"/>
      <c r="P9" s="78"/>
      <c r="Q9" s="2">
        <f t="shared" si="0"/>
        <v>0</v>
      </c>
      <c r="R9" s="102">
        <f t="shared" si="0"/>
        <v>0</v>
      </c>
      <c r="S9" s="115"/>
      <c r="U9" s="37" t="str">
        <f t="shared" si="1"/>
        <v/>
      </c>
      <c r="V9" s="37" t="str">
        <f t="shared" si="1"/>
        <v/>
      </c>
      <c r="W9" s="37"/>
      <c r="X9" s="37"/>
      <c r="Y9" s="54"/>
      <c r="Z9" s="49"/>
      <c r="AA9" s="68"/>
      <c r="AB9" s="68"/>
      <c r="AC9" s="69"/>
      <c r="AD9" s="69"/>
      <c r="AE9" s="2">
        <f t="shared" si="2"/>
        <v>0</v>
      </c>
      <c r="AF9" s="102">
        <f t="shared" si="2"/>
        <v>0</v>
      </c>
      <c r="AG9" s="2"/>
      <c r="AH9" s="5"/>
      <c r="AI9" s="71"/>
      <c r="AJ9" s="71"/>
      <c r="AK9" s="37"/>
      <c r="AL9" s="37"/>
      <c r="AM9" s="54"/>
      <c r="AN9" s="51"/>
      <c r="AO9" s="68"/>
      <c r="AP9" s="68"/>
      <c r="AQ9" s="68"/>
      <c r="AR9" s="78"/>
    </row>
    <row r="10" spans="1:44" x14ac:dyDescent="0.25">
      <c r="A10" s="261"/>
      <c r="B10" s="5" t="s">
        <v>3</v>
      </c>
      <c r="C10" s="2">
        <f>C50+C90</f>
        <v>42</v>
      </c>
      <c r="E10" s="2">
        <f>E50+E90</f>
        <v>190</v>
      </c>
      <c r="G10" s="71">
        <f t="shared" si="3"/>
        <v>4.5238095238095237</v>
      </c>
      <c r="H10" s="115"/>
      <c r="I10" s="37">
        <f>((C50-1)*I50+(C90-1)*I90)/(C50+C90-2)</f>
        <v>2.3849607514739706</v>
      </c>
      <c r="J10" s="37"/>
      <c r="K10" s="54">
        <f>K50+K90</f>
        <v>6730.3059999999996</v>
      </c>
      <c r="L10" s="51"/>
      <c r="M10" s="68">
        <f>K10/C10</f>
        <v>160.24538095238094</v>
      </c>
      <c r="N10" s="68"/>
      <c r="O10" s="68"/>
      <c r="P10" s="78"/>
      <c r="Q10" s="2">
        <f t="shared" si="0"/>
        <v>2</v>
      </c>
      <c r="R10" s="102">
        <f t="shared" si="0"/>
        <v>2</v>
      </c>
      <c r="S10" s="115">
        <f t="shared" ref="S10:T13" si="4">S50+S90</f>
        <v>14</v>
      </c>
      <c r="T10">
        <f t="shared" si="4"/>
        <v>5</v>
      </c>
      <c r="U10" s="37">
        <f t="shared" si="1"/>
        <v>7</v>
      </c>
      <c r="V10" s="37">
        <f t="shared" si="1"/>
        <v>2.5</v>
      </c>
      <c r="W10" s="37"/>
      <c r="X10" s="37"/>
      <c r="Y10" s="54"/>
      <c r="Z10" s="49"/>
      <c r="AA10" s="68"/>
      <c r="AB10" s="68"/>
      <c r="AC10" s="69"/>
      <c r="AD10" s="69"/>
      <c r="AE10" s="2">
        <f t="shared" si="2"/>
        <v>1</v>
      </c>
      <c r="AF10" s="102">
        <f t="shared" si="2"/>
        <v>1</v>
      </c>
      <c r="AG10" s="115">
        <f t="shared" ref="AG10:AH13" si="5">AG50+AG90</f>
        <v>2</v>
      </c>
      <c r="AH10" s="115">
        <f t="shared" si="5"/>
        <v>5</v>
      </c>
      <c r="AI10" s="71">
        <f t="shared" ref="AI10:AJ14" si="6">IF(AE10,AG10/AE10,"")</f>
        <v>2</v>
      </c>
      <c r="AJ10" s="71">
        <f t="shared" si="6"/>
        <v>5</v>
      </c>
      <c r="AK10" s="37">
        <f t="shared" ref="AK10:AL14" si="7">((AE50-1)*AK50+(AE90-1)*AK90)/(AE50+AE90-2)</f>
        <v>0</v>
      </c>
      <c r="AL10" s="37">
        <f t="shared" si="7"/>
        <v>0</v>
      </c>
      <c r="AM10" s="54"/>
      <c r="AN10" s="51"/>
      <c r="AO10" s="68"/>
      <c r="AP10" s="68"/>
      <c r="AQ10" s="68"/>
      <c r="AR10" s="78"/>
    </row>
    <row r="11" spans="1:44" x14ac:dyDescent="0.25">
      <c r="A11" s="261"/>
      <c r="B11" s="5" t="s">
        <v>4</v>
      </c>
      <c r="C11" s="2">
        <f>C51+C91</f>
        <v>2357</v>
      </c>
      <c r="E11" s="2">
        <f>E51+E91</f>
        <v>13307</v>
      </c>
      <c r="G11" s="71">
        <f t="shared" si="3"/>
        <v>5.6457361052184982</v>
      </c>
      <c r="H11" s="115"/>
      <c r="I11" s="37">
        <f>((C51-1)*I51+(C91-1)*I91)/(C51+C91-2)</f>
        <v>8.8714224893261164</v>
      </c>
      <c r="J11" s="37"/>
      <c r="K11" s="54">
        <f>K51+K91</f>
        <v>920024.8473741099</v>
      </c>
      <c r="L11" s="51"/>
      <c r="M11" s="68">
        <f>K11/C11</f>
        <v>390.33722841498087</v>
      </c>
      <c r="N11" s="68"/>
      <c r="O11" s="68"/>
      <c r="P11" s="78"/>
      <c r="Q11" s="2">
        <f t="shared" si="0"/>
        <v>81</v>
      </c>
      <c r="R11" s="102">
        <f t="shared" si="0"/>
        <v>38</v>
      </c>
      <c r="S11" s="115">
        <f t="shared" si="4"/>
        <v>572</v>
      </c>
      <c r="T11">
        <f t="shared" si="4"/>
        <v>227</v>
      </c>
      <c r="U11" s="37">
        <f t="shared" si="1"/>
        <v>7.0617283950617287</v>
      </c>
      <c r="V11" s="37">
        <f t="shared" si="1"/>
        <v>5.9736842105263159</v>
      </c>
      <c r="W11" s="37">
        <f t="shared" ref="W11:X14" si="8">((Q51-1)*W51+(Q91-1)*W91)/(Q51+Q91-2)</f>
        <v>13.824029711641799</v>
      </c>
      <c r="X11" s="37">
        <f t="shared" si="8"/>
        <v>5.2350916944342138</v>
      </c>
      <c r="Y11" s="54">
        <f t="shared" ref="Y11:Z13" si="9">Y51+Y91</f>
        <v>39547.171616291489</v>
      </c>
      <c r="Z11" s="49">
        <f t="shared" si="9"/>
        <v>15694.419505066728</v>
      </c>
      <c r="AA11" s="68">
        <f t="shared" ref="AA11:AB14" si="10">Y11/Q11</f>
        <v>488.23668662088261</v>
      </c>
      <c r="AB11" s="68">
        <f t="shared" si="10"/>
        <v>413.01103960701914</v>
      </c>
      <c r="AC11" s="69"/>
      <c r="AD11" s="69"/>
      <c r="AE11" s="2">
        <f t="shared" si="2"/>
        <v>125</v>
      </c>
      <c r="AF11" s="102">
        <f t="shared" si="2"/>
        <v>14</v>
      </c>
      <c r="AG11" s="115">
        <f t="shared" si="5"/>
        <v>784</v>
      </c>
      <c r="AH11" s="115">
        <f t="shared" si="5"/>
        <v>590</v>
      </c>
      <c r="AI11" s="71">
        <f t="shared" si="6"/>
        <v>6.2720000000000002</v>
      </c>
      <c r="AJ11" s="71">
        <f t="shared" si="6"/>
        <v>42.142857142857146</v>
      </c>
      <c r="AK11" s="37">
        <f t="shared" si="7"/>
        <v>5.9842853164364085</v>
      </c>
      <c r="AL11" s="37">
        <f t="shared" si="7"/>
        <v>98.000523284840497</v>
      </c>
      <c r="AM11" s="54">
        <f t="shared" ref="AM11:AN13" si="11">AM51+AM91</f>
        <v>54204.514942609312</v>
      </c>
      <c r="AN11" s="51">
        <f t="shared" si="11"/>
        <v>40791.663030790172</v>
      </c>
      <c r="AO11" s="68">
        <f t="shared" ref="AO11:AP14" si="12">AM11/AE11</f>
        <v>433.63611954087452</v>
      </c>
      <c r="AP11" s="68">
        <f t="shared" si="12"/>
        <v>2913.6902164850121</v>
      </c>
      <c r="AQ11" s="68"/>
      <c r="AR11" s="78"/>
    </row>
    <row r="12" spans="1:44" x14ac:dyDescent="0.25">
      <c r="A12" s="261"/>
      <c r="B12" s="5" t="s">
        <v>5</v>
      </c>
      <c r="C12" s="2">
        <f>C52+C92</f>
        <v>4428</v>
      </c>
      <c r="E12" s="2">
        <f>E52+E92</f>
        <v>31377</v>
      </c>
      <c r="G12" s="71">
        <f t="shared" si="3"/>
        <v>7.0860433604336039</v>
      </c>
      <c r="H12" s="115"/>
      <c r="I12" s="37">
        <f>((C52-1)*I52+(C92-1)*I92)/(C52+C92-2)</f>
        <v>11.681642335043485</v>
      </c>
      <c r="J12" s="37"/>
      <c r="K12" s="54">
        <f>K52+K92</f>
        <v>3113452.4171265475</v>
      </c>
      <c r="L12" s="51"/>
      <c r="M12" s="68">
        <f>K12/C12</f>
        <v>703.12836881810017</v>
      </c>
      <c r="N12" s="68"/>
      <c r="O12" s="68"/>
      <c r="P12" s="78"/>
      <c r="Q12" s="2">
        <f t="shared" si="0"/>
        <v>114</v>
      </c>
      <c r="R12" s="102">
        <f t="shared" si="0"/>
        <v>34</v>
      </c>
      <c r="S12" s="115">
        <f t="shared" si="4"/>
        <v>915</v>
      </c>
      <c r="T12">
        <f t="shared" si="4"/>
        <v>353</v>
      </c>
      <c r="U12" s="37">
        <f t="shared" si="1"/>
        <v>8.026315789473685</v>
      </c>
      <c r="V12" s="37">
        <f t="shared" si="1"/>
        <v>10.382352941176471</v>
      </c>
      <c r="W12" s="37">
        <f t="shared" si="8"/>
        <v>11.526941902038255</v>
      </c>
      <c r="X12" s="37">
        <f t="shared" si="8"/>
        <v>13.782028414390705</v>
      </c>
      <c r="Y12" s="54">
        <f t="shared" si="9"/>
        <v>90792.904409943309</v>
      </c>
      <c r="Z12" s="49">
        <f t="shared" si="9"/>
        <v>35027.207930830591</v>
      </c>
      <c r="AA12" s="68">
        <f t="shared" si="10"/>
        <v>796.42898605213429</v>
      </c>
      <c r="AB12" s="68">
        <f t="shared" si="10"/>
        <v>1030.2119979656056</v>
      </c>
      <c r="AC12" s="69"/>
      <c r="AD12" s="69"/>
      <c r="AE12" s="2">
        <f t="shared" si="2"/>
        <v>310</v>
      </c>
      <c r="AF12" s="102">
        <f t="shared" si="2"/>
        <v>42</v>
      </c>
      <c r="AG12" s="115">
        <f t="shared" si="5"/>
        <v>3516</v>
      </c>
      <c r="AH12" s="115">
        <f t="shared" si="5"/>
        <v>925</v>
      </c>
      <c r="AI12" s="71">
        <f t="shared" si="6"/>
        <v>11.341935483870968</v>
      </c>
      <c r="AJ12" s="71">
        <f t="shared" si="6"/>
        <v>22.023809523809526</v>
      </c>
      <c r="AK12" s="37">
        <f t="shared" si="7"/>
        <v>25.014627748596411</v>
      </c>
      <c r="AL12" s="37">
        <f t="shared" si="7"/>
        <v>43.039545060611303</v>
      </c>
      <c r="AM12" s="54">
        <f t="shared" si="11"/>
        <v>348882.89825722482</v>
      </c>
      <c r="AN12" s="51">
        <f t="shared" si="11"/>
        <v>91785.176589286959</v>
      </c>
      <c r="AO12" s="68">
        <f t="shared" si="12"/>
        <v>1125.4287040555639</v>
      </c>
      <c r="AP12" s="68">
        <f t="shared" si="12"/>
        <v>2185.3613473639753</v>
      </c>
      <c r="AQ12" s="68"/>
      <c r="AR12" s="78"/>
    </row>
    <row r="13" spans="1:44" x14ac:dyDescent="0.25">
      <c r="A13" s="261"/>
      <c r="B13" s="6" t="s">
        <v>6</v>
      </c>
      <c r="C13" s="8">
        <f>C53+C93</f>
        <v>296</v>
      </c>
      <c r="D13" s="6"/>
      <c r="E13" s="8">
        <f>E53+E93</f>
        <v>2390</v>
      </c>
      <c r="F13" s="6"/>
      <c r="G13" s="39">
        <f t="shared" si="3"/>
        <v>8.0743243243243246</v>
      </c>
      <c r="H13" s="6"/>
      <c r="I13" s="37">
        <f>((C53-1)*I53+(C93-1)*I93)/(C53+C93-2)</f>
        <v>8.2783718544020637</v>
      </c>
      <c r="J13" s="39"/>
      <c r="K13" s="55">
        <f>K53+K93</f>
        <v>175868.64210181771</v>
      </c>
      <c r="L13" s="50"/>
      <c r="M13" s="68">
        <f>K13/C13</f>
        <v>594.15081791154626</v>
      </c>
      <c r="N13" s="75"/>
      <c r="O13" s="75"/>
      <c r="P13" s="79"/>
      <c r="Q13" s="8">
        <f t="shared" si="0"/>
        <v>4</v>
      </c>
      <c r="R13" s="102">
        <f t="shared" si="0"/>
        <v>1</v>
      </c>
      <c r="S13" s="8">
        <f t="shared" si="4"/>
        <v>57</v>
      </c>
      <c r="T13" s="6">
        <f t="shared" si="4"/>
        <v>3</v>
      </c>
      <c r="U13" s="39">
        <f t="shared" si="1"/>
        <v>14.25</v>
      </c>
      <c r="V13" s="37">
        <f t="shared" si="1"/>
        <v>3</v>
      </c>
      <c r="W13" s="37">
        <f t="shared" si="8"/>
        <v>12.983162172598785</v>
      </c>
      <c r="X13" s="37">
        <f t="shared" si="8"/>
        <v>0</v>
      </c>
      <c r="Y13" s="55">
        <f t="shared" si="9"/>
        <v>4194.3567363195025</v>
      </c>
      <c r="Z13" s="50">
        <f t="shared" si="9"/>
        <v>220.75561770102644</v>
      </c>
      <c r="AA13" s="68">
        <f t="shared" si="10"/>
        <v>1048.5891840798756</v>
      </c>
      <c r="AB13" s="68">
        <f t="shared" si="10"/>
        <v>220.75561770102644</v>
      </c>
      <c r="AC13" s="75"/>
      <c r="AD13" s="75"/>
      <c r="AE13" s="8">
        <f t="shared" si="2"/>
        <v>21</v>
      </c>
      <c r="AF13" s="102">
        <f t="shared" si="2"/>
        <v>7</v>
      </c>
      <c r="AG13" s="8">
        <f t="shared" si="5"/>
        <v>197</v>
      </c>
      <c r="AH13" s="6">
        <f t="shared" si="5"/>
        <v>448</v>
      </c>
      <c r="AI13" s="71">
        <f t="shared" si="6"/>
        <v>9.3809523809523814</v>
      </c>
      <c r="AJ13" s="71">
        <f t="shared" si="6"/>
        <v>64</v>
      </c>
      <c r="AK13" s="37">
        <f t="shared" si="7"/>
        <v>6.5252545826520096</v>
      </c>
      <c r="AL13" s="37">
        <f t="shared" si="7"/>
        <v>123.537848451396</v>
      </c>
      <c r="AM13" s="55">
        <f t="shared" si="11"/>
        <v>14496.285562367404</v>
      </c>
      <c r="AN13" s="50">
        <f t="shared" si="11"/>
        <v>32966.172243353285</v>
      </c>
      <c r="AO13" s="68">
        <f t="shared" si="12"/>
        <v>690.29931249368587</v>
      </c>
      <c r="AP13" s="68">
        <f t="shared" si="12"/>
        <v>4709.4531776218982</v>
      </c>
      <c r="AQ13" s="75"/>
      <c r="AR13" s="79"/>
    </row>
    <row r="14" spans="1:44" ht="15.75" thickBot="1" x14ac:dyDescent="0.3">
      <c r="A14" s="262"/>
      <c r="B14" s="15" t="s">
        <v>14</v>
      </c>
      <c r="C14" s="66">
        <f>SUM(C7:C13)</f>
        <v>7123</v>
      </c>
      <c r="D14" s="99"/>
      <c r="E14" s="31">
        <f>SUM(E7:E13)</f>
        <v>47264</v>
      </c>
      <c r="F14" s="17"/>
      <c r="G14" s="70">
        <f t="shared" si="3"/>
        <v>6.6354064298750526</v>
      </c>
      <c r="H14" s="67"/>
      <c r="I14" s="40">
        <f>SQRT(((C11-1)*I11^2+(C12-1)*I12^2+(C13-1)*I13^2)/(C11+C12+C13-3))</f>
        <v>10.6959760363836</v>
      </c>
      <c r="J14" s="40"/>
      <c r="K14" s="74">
        <f>SUM(K7:K13)</f>
        <v>4216076.2126024747</v>
      </c>
      <c r="L14" s="57"/>
      <c r="M14" s="77">
        <f>K14/C14</f>
        <v>591.89614103642771</v>
      </c>
      <c r="N14" s="77"/>
      <c r="O14" s="77"/>
      <c r="P14" s="80"/>
      <c r="Q14" s="66">
        <f>SUM(Q7:Q13)</f>
        <v>201</v>
      </c>
      <c r="R14" s="104">
        <f>SUM(R7:R13)</f>
        <v>75</v>
      </c>
      <c r="S14" s="35">
        <f>SUM(S7:S13)</f>
        <v>1558</v>
      </c>
      <c r="T14" s="15">
        <f>SUM(T7:T13)</f>
        <v>588</v>
      </c>
      <c r="U14" s="40">
        <f t="shared" si="1"/>
        <v>7.7512437810945274</v>
      </c>
      <c r="V14" s="40">
        <f t="shared" si="1"/>
        <v>7.84</v>
      </c>
      <c r="W14" s="40">
        <f t="shared" si="8"/>
        <v>9.9419234888066388</v>
      </c>
      <c r="X14" s="40">
        <f t="shared" si="8"/>
        <v>9.9181578324518149</v>
      </c>
      <c r="Y14" s="74">
        <f>SUM(Y7:Y13)</f>
        <v>134534.43276255429</v>
      </c>
      <c r="Z14" s="57">
        <f>SUM(Z7:Z13)</f>
        <v>50942.383053598343</v>
      </c>
      <c r="AA14" s="77">
        <f t="shared" si="10"/>
        <v>669.32553613211087</v>
      </c>
      <c r="AB14" s="77">
        <f t="shared" si="10"/>
        <v>679.23177404797786</v>
      </c>
      <c r="AC14" s="77"/>
      <c r="AD14" s="77"/>
      <c r="AE14" s="66">
        <f>SUM(AE7:AE13)</f>
        <v>457</v>
      </c>
      <c r="AF14" s="104">
        <f>SUM(AF7:AF13)</f>
        <v>64</v>
      </c>
      <c r="AG14" s="35">
        <f>SUM(AG7:AG13)</f>
        <v>4499</v>
      </c>
      <c r="AH14" s="15">
        <f>SUM(AH7:AH13)</f>
        <v>1968</v>
      </c>
      <c r="AI14" s="40">
        <f t="shared" si="6"/>
        <v>9.8446389496717721</v>
      </c>
      <c r="AJ14" s="40">
        <f t="shared" si="6"/>
        <v>30.75</v>
      </c>
      <c r="AK14" s="40">
        <f t="shared" si="7"/>
        <v>13.165184774823187</v>
      </c>
      <c r="AL14" s="40">
        <f t="shared" si="7"/>
        <v>71.859055491226243</v>
      </c>
      <c r="AM14" s="74">
        <f>SUM(AM7:AM13)</f>
        <v>417583.69876220153</v>
      </c>
      <c r="AN14" s="57">
        <f>SUM(AN7:AN13)</f>
        <v>165543.01186343044</v>
      </c>
      <c r="AO14" s="77">
        <f t="shared" si="12"/>
        <v>913.74988788227904</v>
      </c>
      <c r="AP14" s="77">
        <f t="shared" si="12"/>
        <v>2586.6095603661006</v>
      </c>
      <c r="AQ14" s="77"/>
      <c r="AR14" s="80"/>
    </row>
    <row r="15" spans="1:44" ht="15.75" thickTop="1" x14ac:dyDescent="0.25">
      <c r="A15" s="263">
        <v>2013</v>
      </c>
      <c r="B15" s="5" t="s">
        <v>0</v>
      </c>
      <c r="C15" s="2"/>
      <c r="E15" s="2"/>
      <c r="G15" s="71"/>
      <c r="H15" s="115"/>
      <c r="I15" s="37"/>
      <c r="J15" s="37"/>
      <c r="K15" s="54"/>
      <c r="L15" s="51"/>
      <c r="M15" s="68"/>
      <c r="N15" s="68"/>
      <c r="O15" s="68"/>
      <c r="P15" s="78"/>
      <c r="Q15" s="2">
        <f t="shared" ref="Q15:R21" si="13">Q55+Q95</f>
        <v>0</v>
      </c>
      <c r="R15" s="102">
        <f t="shared" si="13"/>
        <v>0</v>
      </c>
      <c r="S15" s="115"/>
      <c r="U15" s="37"/>
      <c r="V15" s="37"/>
      <c r="W15" s="37"/>
      <c r="X15" s="37"/>
      <c r="Y15" s="54"/>
      <c r="Z15" s="49"/>
      <c r="AA15" s="68"/>
      <c r="AB15" s="68"/>
      <c r="AC15" s="69"/>
      <c r="AD15" s="69"/>
      <c r="AE15" s="2">
        <f t="shared" ref="AE15:AF21" si="14">AE55+AE95</f>
        <v>0</v>
      </c>
      <c r="AF15" s="102">
        <f t="shared" si="14"/>
        <v>0</v>
      </c>
      <c r="AG15" s="115"/>
      <c r="AH15" s="115"/>
      <c r="AI15" s="71"/>
      <c r="AJ15" s="71"/>
      <c r="AK15" s="37"/>
      <c r="AL15" s="37"/>
      <c r="AM15" s="54"/>
      <c r="AN15" s="51"/>
      <c r="AO15" s="68"/>
      <c r="AP15" s="68"/>
      <c r="AQ15" s="68"/>
      <c r="AR15" s="78"/>
    </row>
    <row r="16" spans="1:44" x14ac:dyDescent="0.25">
      <c r="A16" s="261"/>
      <c r="B16" s="5" t="s">
        <v>1</v>
      </c>
      <c r="C16" s="2"/>
      <c r="E16" s="2"/>
      <c r="G16" s="71"/>
      <c r="H16" s="115"/>
      <c r="I16" s="37"/>
      <c r="J16" s="37"/>
      <c r="K16" s="54"/>
      <c r="L16" s="51"/>
      <c r="M16" s="68"/>
      <c r="N16" s="68"/>
      <c r="O16" s="68"/>
      <c r="P16" s="78"/>
      <c r="Q16" s="2">
        <f t="shared" si="13"/>
        <v>0</v>
      </c>
      <c r="R16" s="102">
        <f t="shared" si="13"/>
        <v>0</v>
      </c>
      <c r="S16" s="115"/>
      <c r="U16" s="37"/>
      <c r="V16" s="37"/>
      <c r="W16" s="37"/>
      <c r="X16" s="37"/>
      <c r="Y16" s="54"/>
      <c r="Z16" s="49"/>
      <c r="AA16" s="68"/>
      <c r="AB16" s="68"/>
      <c r="AC16" s="69"/>
      <c r="AD16" s="69"/>
      <c r="AE16" s="2">
        <f t="shared" si="14"/>
        <v>0</v>
      </c>
      <c r="AF16" s="102">
        <f t="shared" si="14"/>
        <v>0</v>
      </c>
      <c r="AG16" s="115"/>
      <c r="AH16" s="115"/>
      <c r="AI16" s="71"/>
      <c r="AJ16" s="71"/>
      <c r="AK16" s="37"/>
      <c r="AL16" s="37"/>
      <c r="AM16" s="54"/>
      <c r="AN16" s="51"/>
      <c r="AO16" s="68"/>
      <c r="AP16" s="68"/>
      <c r="AQ16" s="68"/>
      <c r="AR16" s="78"/>
    </row>
    <row r="17" spans="1:44" x14ac:dyDescent="0.25">
      <c r="A17" s="261"/>
      <c r="B17" s="5" t="s">
        <v>2</v>
      </c>
      <c r="C17" s="2"/>
      <c r="E17" s="2"/>
      <c r="G17" s="71"/>
      <c r="H17" s="115"/>
      <c r="I17" s="37"/>
      <c r="J17" s="37"/>
      <c r="K17" s="54"/>
      <c r="L17" s="51"/>
      <c r="M17" s="68"/>
      <c r="N17" s="68"/>
      <c r="O17" s="68"/>
      <c r="P17" s="78"/>
      <c r="Q17" s="2">
        <f t="shared" si="13"/>
        <v>0</v>
      </c>
      <c r="R17" s="102">
        <f t="shared" si="13"/>
        <v>0</v>
      </c>
      <c r="S17" s="115"/>
      <c r="U17" s="37"/>
      <c r="V17" s="37"/>
      <c r="W17" s="37"/>
      <c r="X17" s="37"/>
      <c r="Y17" s="54"/>
      <c r="Z17" s="49"/>
      <c r="AA17" s="68"/>
      <c r="AB17" s="68"/>
      <c r="AC17" s="69"/>
      <c r="AD17" s="69"/>
      <c r="AE17" s="2">
        <f t="shared" si="14"/>
        <v>0</v>
      </c>
      <c r="AF17" s="102">
        <f t="shared" si="14"/>
        <v>0</v>
      </c>
      <c r="AG17" s="115"/>
      <c r="AH17" s="115"/>
      <c r="AI17" s="71"/>
      <c r="AJ17" s="71"/>
      <c r="AK17" s="37"/>
      <c r="AL17" s="37"/>
      <c r="AM17" s="54"/>
      <c r="AN17" s="51"/>
      <c r="AO17" s="68"/>
      <c r="AP17" s="68"/>
      <c r="AQ17" s="68"/>
      <c r="AR17" s="78"/>
    </row>
    <row r="18" spans="1:44" x14ac:dyDescent="0.25">
      <c r="A18" s="261"/>
      <c r="B18" s="5" t="s">
        <v>3</v>
      </c>
      <c r="C18" s="2">
        <v>77</v>
      </c>
      <c r="E18" s="2">
        <v>696</v>
      </c>
      <c r="G18" s="71">
        <f>IF(C18,E18/C18,"")</f>
        <v>9.0389610389610393</v>
      </c>
      <c r="H18" s="115"/>
      <c r="I18" s="37">
        <f>((C58-1)*I58+(C98-1)*I98)/(C58+C98-2)</f>
        <v>35.55145235423921</v>
      </c>
      <c r="J18" s="37"/>
      <c r="K18" s="54">
        <f>K58+K98</f>
        <v>23602.01888</v>
      </c>
      <c r="L18" s="51"/>
      <c r="M18" s="68">
        <f>K18/C18</f>
        <v>306.5197257142857</v>
      </c>
      <c r="N18" s="68"/>
      <c r="O18" s="68"/>
      <c r="P18" s="78"/>
      <c r="Q18" s="2">
        <f t="shared" si="13"/>
        <v>2</v>
      </c>
      <c r="R18" s="102">
        <f t="shared" si="13"/>
        <v>3</v>
      </c>
      <c r="S18" s="115">
        <f t="shared" ref="S18:T21" si="15">S58+S98</f>
        <v>13</v>
      </c>
      <c r="T18" s="115">
        <f t="shared" si="15"/>
        <v>6</v>
      </c>
      <c r="U18" s="37">
        <f t="shared" ref="U18:V22" si="16">IF(Q18,S18/Q18,"")</f>
        <v>6.5</v>
      </c>
      <c r="V18" s="37">
        <f t="shared" si="16"/>
        <v>2</v>
      </c>
      <c r="W18" s="37"/>
      <c r="X18" s="37">
        <f>((R58-1)*X58+(R98-1)*X98)/(R58+R98-2)</f>
        <v>2</v>
      </c>
      <c r="Y18" s="54"/>
      <c r="Z18" s="49"/>
      <c r="AA18" s="68"/>
      <c r="AB18" s="68"/>
      <c r="AC18" s="69"/>
      <c r="AD18" s="69"/>
      <c r="AE18" s="2">
        <f t="shared" si="14"/>
        <v>1</v>
      </c>
      <c r="AF18" s="102">
        <f t="shared" si="14"/>
        <v>0</v>
      </c>
      <c r="AG18" s="115">
        <f t="shared" ref="AG18:AH21" si="17">AG58+AG98</f>
        <v>3</v>
      </c>
      <c r="AH18" s="115">
        <f t="shared" si="17"/>
        <v>0</v>
      </c>
      <c r="AI18" s="71">
        <f t="shared" ref="AI18:AJ22" si="18">IF(AE18,AG18/AE18,"")</f>
        <v>3</v>
      </c>
      <c r="AJ18" s="71" t="str">
        <f t="shared" si="18"/>
        <v/>
      </c>
      <c r="AK18" s="37">
        <f t="shared" ref="AK18:AL22" si="19">((AE58-1)*AK58+(AE98-1)*AK98)/(AE58+AE98-2)</f>
        <v>0</v>
      </c>
      <c r="AL18" s="37">
        <f t="shared" si="19"/>
        <v>0</v>
      </c>
      <c r="AM18" s="54"/>
      <c r="AN18" s="51"/>
      <c r="AO18" s="68"/>
      <c r="AP18" s="68"/>
      <c r="AQ18" s="68"/>
      <c r="AR18" s="78"/>
    </row>
    <row r="19" spans="1:44" x14ac:dyDescent="0.25">
      <c r="A19" s="261"/>
      <c r="B19" s="5" t="s">
        <v>4</v>
      </c>
      <c r="C19" s="2">
        <v>4751</v>
      </c>
      <c r="E19" s="2">
        <v>27664</v>
      </c>
      <c r="G19" s="71">
        <f>IF(C19,E19/C19,"")</f>
        <v>5.8227741528099344</v>
      </c>
      <c r="H19" s="115"/>
      <c r="I19" s="37">
        <f>((C59-1)*I59+(C99-1)*I99)/(C59+C99-2)</f>
        <v>5.7699776540805576</v>
      </c>
      <c r="J19" s="37"/>
      <c r="K19" s="54">
        <f>K59+K99</f>
        <v>1702420.5078799429</v>
      </c>
      <c r="L19" s="51"/>
      <c r="M19" s="68">
        <f>K19/C19</f>
        <v>358.32887978950595</v>
      </c>
      <c r="N19" s="68"/>
      <c r="O19" s="68"/>
      <c r="P19" s="78"/>
      <c r="Q19" s="2">
        <f t="shared" si="13"/>
        <v>142</v>
      </c>
      <c r="R19" s="102">
        <f t="shared" si="13"/>
        <v>72</v>
      </c>
      <c r="S19" s="115">
        <f t="shared" si="15"/>
        <v>1243</v>
      </c>
      <c r="T19" s="115">
        <f t="shared" si="15"/>
        <v>536</v>
      </c>
      <c r="U19" s="37">
        <f t="shared" si="16"/>
        <v>8.7535211267605639</v>
      </c>
      <c r="V19" s="37">
        <f t="shared" si="16"/>
        <v>7.4444444444444446</v>
      </c>
      <c r="W19" s="37">
        <f>((Q59-1)*W59+(Q99-1)*W99)/(Q59+Q99-2)</f>
        <v>30.241434455253909</v>
      </c>
      <c r="X19" s="37">
        <f>((R59-1)*X59+(R99-1)*X99)/(R59+R99-2)</f>
        <v>9.5032102714194089</v>
      </c>
      <c r="Y19" s="54">
        <f t="shared" ref="Y19:Z21" si="20">Y59+Y99</f>
        <v>77941.38826131745</v>
      </c>
      <c r="Z19" s="49">
        <f t="shared" si="20"/>
        <v>33609.480376561667</v>
      </c>
      <c r="AA19" s="68">
        <f t="shared" ref="AA19:AB22" si="21">Y19/Q19</f>
        <v>548.8830159247708</v>
      </c>
      <c r="AB19" s="68">
        <f t="shared" si="21"/>
        <v>466.79833856335648</v>
      </c>
      <c r="AC19" s="69"/>
      <c r="AD19" s="69"/>
      <c r="AE19" s="2">
        <f t="shared" si="14"/>
        <v>192</v>
      </c>
      <c r="AF19" s="102">
        <f t="shared" si="14"/>
        <v>26</v>
      </c>
      <c r="AG19" s="115">
        <f t="shared" si="17"/>
        <v>1337</v>
      </c>
      <c r="AH19" s="115">
        <f t="shared" si="17"/>
        <v>797</v>
      </c>
      <c r="AI19" s="71">
        <f t="shared" si="18"/>
        <v>6.963541666666667</v>
      </c>
      <c r="AJ19" s="71">
        <f t="shared" si="18"/>
        <v>30.653846153846153</v>
      </c>
      <c r="AK19" s="37">
        <f t="shared" si="19"/>
        <v>7.579577565331082</v>
      </c>
      <c r="AL19" s="37">
        <f t="shared" si="19"/>
        <v>74.273064078054162</v>
      </c>
      <c r="AM19" s="54">
        <v>27664</v>
      </c>
      <c r="AN19" s="51">
        <v>27664</v>
      </c>
      <c r="AO19" s="68">
        <f t="shared" ref="AO19:AP22" si="22">AM19/AE19</f>
        <v>144.08333333333334</v>
      </c>
      <c r="AP19" s="68">
        <f t="shared" si="22"/>
        <v>1064</v>
      </c>
      <c r="AQ19" s="68"/>
      <c r="AR19" s="78"/>
    </row>
    <row r="20" spans="1:44" x14ac:dyDescent="0.25">
      <c r="A20" s="261"/>
      <c r="B20" s="5" t="s">
        <v>5</v>
      </c>
      <c r="C20" s="2">
        <v>11376</v>
      </c>
      <c r="E20" s="2">
        <v>83343</v>
      </c>
      <c r="G20" s="71">
        <f>IF(C20,E20/C20,"")</f>
        <v>7.3262130801687766</v>
      </c>
      <c r="H20" s="115"/>
      <c r="I20" s="37">
        <f>((C60-1)*I60+(C100-1)*I100)/(C60+C100-2)</f>
        <v>7.5691923006995951</v>
      </c>
      <c r="J20" s="37"/>
      <c r="K20" s="54">
        <f>K60+K100</f>
        <v>7514770.1777112754</v>
      </c>
      <c r="L20" s="51"/>
      <c r="M20" s="68">
        <f>K20/C20</f>
        <v>660.58106344156784</v>
      </c>
      <c r="N20" s="68"/>
      <c r="O20" s="68"/>
      <c r="P20" s="78"/>
      <c r="Q20" s="2">
        <f t="shared" si="13"/>
        <v>224</v>
      </c>
      <c r="R20" s="102">
        <f t="shared" si="13"/>
        <v>111</v>
      </c>
      <c r="S20" s="115">
        <f t="shared" si="15"/>
        <v>1839</v>
      </c>
      <c r="T20" s="115">
        <f t="shared" si="15"/>
        <v>2915</v>
      </c>
      <c r="U20" s="37">
        <f t="shared" si="16"/>
        <v>8.2098214285714288</v>
      </c>
      <c r="V20" s="37">
        <f t="shared" si="16"/>
        <v>26.261261261261261</v>
      </c>
      <c r="W20" s="37">
        <f>((Q60-1)*W60+(Q100-1)*W100)/(Q60+Q100-2)</f>
        <v>6.3195752122015714</v>
      </c>
      <c r="X20" s="37">
        <f>((R60-1)*X60+(R100-1)*X100)/(R60+R100-2)</f>
        <v>89.477156469652286</v>
      </c>
      <c r="Y20" s="54">
        <f t="shared" si="20"/>
        <v>165497.01040442416</v>
      </c>
      <c r="Z20" s="49">
        <f t="shared" si="20"/>
        <v>262329.41018428298</v>
      </c>
      <c r="AA20" s="68">
        <f t="shared" si="21"/>
        <v>738.825939305465</v>
      </c>
      <c r="AB20" s="68">
        <f t="shared" si="21"/>
        <v>2363.3280196782252</v>
      </c>
      <c r="AC20" s="69"/>
      <c r="AD20" s="69"/>
      <c r="AE20" s="2">
        <f t="shared" si="14"/>
        <v>618</v>
      </c>
      <c r="AF20" s="102">
        <f t="shared" si="14"/>
        <v>116</v>
      </c>
      <c r="AG20" s="115">
        <f t="shared" si="17"/>
        <v>7194</v>
      </c>
      <c r="AH20" s="115">
        <f t="shared" si="17"/>
        <v>5517</v>
      </c>
      <c r="AI20" s="71">
        <f t="shared" si="18"/>
        <v>11.640776699029127</v>
      </c>
      <c r="AJ20" s="71">
        <f t="shared" si="18"/>
        <v>47.560344827586206</v>
      </c>
      <c r="AK20" s="37">
        <f t="shared" si="19"/>
        <v>21.115797335869093</v>
      </c>
      <c r="AL20" s="37">
        <f t="shared" si="19"/>
        <v>129.93359213528737</v>
      </c>
      <c r="AM20" s="54">
        <v>83343</v>
      </c>
      <c r="AN20" s="51">
        <v>83343</v>
      </c>
      <c r="AO20" s="68">
        <f t="shared" si="22"/>
        <v>134.85922330097088</v>
      </c>
      <c r="AP20" s="68">
        <f t="shared" si="22"/>
        <v>718.47413793103453</v>
      </c>
      <c r="AQ20" s="68"/>
      <c r="AR20" s="78"/>
    </row>
    <row r="21" spans="1:44" x14ac:dyDescent="0.25">
      <c r="A21" s="261"/>
      <c r="B21" s="6" t="s">
        <v>6</v>
      </c>
      <c r="C21" s="8">
        <v>835</v>
      </c>
      <c r="D21" s="53"/>
      <c r="E21" s="8">
        <v>7068</v>
      </c>
      <c r="F21" s="6"/>
      <c r="G21" s="39">
        <f>IF(C21,E21/C21,"")</f>
        <v>8.4646706586826355</v>
      </c>
      <c r="H21" s="6"/>
      <c r="I21" s="39">
        <f>((C61-1)*I61+(C101-1)*I101)/(C61+C101-2)</f>
        <v>9.9962760365803032</v>
      </c>
      <c r="J21" s="39"/>
      <c r="K21" s="55">
        <f>K61+K101</f>
        <v>431122.44744304591</v>
      </c>
      <c r="L21" s="50"/>
      <c r="M21" s="68">
        <f>K21/C21</f>
        <v>516.31430831502507</v>
      </c>
      <c r="N21" s="75"/>
      <c r="O21" s="75"/>
      <c r="P21" s="79"/>
      <c r="Q21" s="8">
        <f t="shared" si="13"/>
        <v>8</v>
      </c>
      <c r="R21" s="102">
        <f t="shared" si="13"/>
        <v>7</v>
      </c>
      <c r="S21" s="8">
        <f t="shared" si="15"/>
        <v>70</v>
      </c>
      <c r="T21" s="6">
        <f t="shared" si="15"/>
        <v>64</v>
      </c>
      <c r="U21" s="39">
        <f t="shared" si="16"/>
        <v>8.75</v>
      </c>
      <c r="V21" s="39">
        <f t="shared" si="16"/>
        <v>9.1428571428571423</v>
      </c>
      <c r="W21" s="39">
        <f>((Q61-1)*W61+(Q101-1)*W101)/(Q61+Q101-2)</f>
        <v>5.6038181428181391</v>
      </c>
      <c r="X21" s="39">
        <f>((R61-1)*X61+(R101-1)*X101)/(R61+R101-2)</f>
        <v>4.5657107098144447</v>
      </c>
      <c r="Y21" s="55">
        <f t="shared" si="20"/>
        <v>4671.605467649104</v>
      </c>
      <c r="Z21" s="50">
        <f t="shared" si="20"/>
        <v>4271.1821418506097</v>
      </c>
      <c r="AA21" s="68">
        <f t="shared" si="21"/>
        <v>583.95068345613799</v>
      </c>
      <c r="AB21" s="68">
        <f t="shared" si="21"/>
        <v>610.16887740722996</v>
      </c>
      <c r="AC21" s="75"/>
      <c r="AD21" s="75"/>
      <c r="AE21" s="8">
        <f t="shared" si="14"/>
        <v>61</v>
      </c>
      <c r="AF21" s="102">
        <f t="shared" si="14"/>
        <v>9</v>
      </c>
      <c r="AG21" s="8">
        <f t="shared" si="17"/>
        <v>1198</v>
      </c>
      <c r="AH21" s="6">
        <f t="shared" si="17"/>
        <v>547</v>
      </c>
      <c r="AI21" s="39">
        <f t="shared" si="18"/>
        <v>19.639344262295083</v>
      </c>
      <c r="AJ21" s="39">
        <f t="shared" si="18"/>
        <v>60.777777777777779</v>
      </c>
      <c r="AK21" s="39">
        <f t="shared" si="19"/>
        <v>46.6405172903061</v>
      </c>
      <c r="AL21" s="39">
        <f t="shared" si="19"/>
        <v>105.49750402738948</v>
      </c>
      <c r="AM21" s="55">
        <v>7068</v>
      </c>
      <c r="AN21" s="50">
        <v>7068</v>
      </c>
      <c r="AO21" s="68">
        <f t="shared" si="22"/>
        <v>115.8688524590164</v>
      </c>
      <c r="AP21" s="68">
        <f t="shared" si="22"/>
        <v>785.33333333333337</v>
      </c>
      <c r="AQ21" s="75"/>
      <c r="AR21" s="79"/>
    </row>
    <row r="22" spans="1:44" ht="15.75" thickBot="1" x14ac:dyDescent="0.3">
      <c r="A22" s="262"/>
      <c r="B22" s="15" t="s">
        <v>14</v>
      </c>
      <c r="C22" s="66">
        <f>SUM(C15:C21)</f>
        <v>17039</v>
      </c>
      <c r="D22" s="99"/>
      <c r="E22" s="16">
        <f>SUM(E15:E21)</f>
        <v>118771</v>
      </c>
      <c r="F22" s="17"/>
      <c r="G22" s="70">
        <f>IF(C22,E22/C22,"")</f>
        <v>6.9705381771230703</v>
      </c>
      <c r="H22" s="67"/>
      <c r="I22" s="40">
        <f>SQRT(((C19-1)*I19^2+(C20-1)*I20^2+(C21-1)*I21^2)/(C19+C20+C21-3))</f>
        <v>7.2572132223426271</v>
      </c>
      <c r="J22" s="40"/>
      <c r="K22" s="74">
        <f>SUM(K15:K21)</f>
        <v>9671915.151914265</v>
      </c>
      <c r="L22" s="57"/>
      <c r="M22" s="77">
        <f>K22/C22</f>
        <v>567.63396630754539</v>
      </c>
      <c r="N22" s="77"/>
      <c r="O22" s="77"/>
      <c r="P22" s="80"/>
      <c r="Q22" s="66">
        <f>SUM(Q15:Q21)</f>
        <v>376</v>
      </c>
      <c r="R22" s="104">
        <f>SUM(R15:R21)</f>
        <v>193</v>
      </c>
      <c r="S22" s="35">
        <f>SUM(S15:S21)</f>
        <v>3165</v>
      </c>
      <c r="T22" s="15">
        <f>SUM(T15:T21)</f>
        <v>3521</v>
      </c>
      <c r="U22" s="40">
        <f t="shared" si="16"/>
        <v>8.4175531914893611</v>
      </c>
      <c r="V22" s="40">
        <f t="shared" si="16"/>
        <v>18.243523316062177</v>
      </c>
      <c r="W22" s="40">
        <f>((Q62-1)*W62+(Q102-1)*W102)/(Q62+Q102-2)</f>
        <v>18.18697653267429</v>
      </c>
      <c r="X22" s="40">
        <f>((R62-1)*X62+(R102-1)*X102)/(R62+R102-2)</f>
        <v>44.942243967981689</v>
      </c>
      <c r="Y22" s="74">
        <f>SUM(Y15:Y21)</f>
        <v>248110.00413339073</v>
      </c>
      <c r="Z22" s="57">
        <f>SUM(Z15:Z21)</f>
        <v>300210.07270269527</v>
      </c>
      <c r="AA22" s="77">
        <f t="shared" si="21"/>
        <v>659.86703226965619</v>
      </c>
      <c r="AB22" s="77">
        <f t="shared" si="21"/>
        <v>1555.4926046771775</v>
      </c>
      <c r="AC22" s="77"/>
      <c r="AD22" s="77"/>
      <c r="AE22" s="66">
        <f>SUM(AE15:AE21)</f>
        <v>872</v>
      </c>
      <c r="AF22" s="104">
        <f>SUM(AF15:AF21)</f>
        <v>151</v>
      </c>
      <c r="AG22" s="35">
        <f>SUM(AG15:AG21)</f>
        <v>9732</v>
      </c>
      <c r="AH22" s="15">
        <f>SUM(AH15:AH21)</f>
        <v>6861</v>
      </c>
      <c r="AI22" s="40">
        <f t="shared" si="18"/>
        <v>11.160550458715596</v>
      </c>
      <c r="AJ22" s="40">
        <f t="shared" si="18"/>
        <v>45.437086092715234</v>
      </c>
      <c r="AK22" s="40">
        <f t="shared" si="19"/>
        <v>25.46002039481624</v>
      </c>
      <c r="AL22" s="40">
        <f t="shared" si="19"/>
        <v>86.835023924458767</v>
      </c>
      <c r="AM22" s="74">
        <f>SUM(AM15:AM21)</f>
        <v>118075</v>
      </c>
      <c r="AN22" s="57">
        <f>SUM(AN15:AN21)</f>
        <v>118075</v>
      </c>
      <c r="AO22" s="77">
        <f t="shared" si="22"/>
        <v>135.40711009174311</v>
      </c>
      <c r="AP22" s="77">
        <f t="shared" si="22"/>
        <v>781.95364238410593</v>
      </c>
      <c r="AQ22" s="77"/>
      <c r="AR22" s="80"/>
    </row>
    <row r="23" spans="1:44" ht="15.75" thickTop="1" x14ac:dyDescent="0.25">
      <c r="A23" s="263">
        <v>2014</v>
      </c>
      <c r="B23" s="5" t="s">
        <v>0</v>
      </c>
      <c r="C23" s="2"/>
      <c r="E23" s="2"/>
      <c r="G23" s="71"/>
      <c r="H23" s="115"/>
      <c r="I23" s="37"/>
      <c r="J23" s="37"/>
      <c r="K23" s="54"/>
      <c r="L23" s="51"/>
      <c r="M23" s="68"/>
      <c r="N23" s="68"/>
      <c r="O23" s="68"/>
      <c r="P23" s="78"/>
      <c r="Q23" s="2">
        <f t="shared" ref="Q23:R29" si="23">Q63+Q103</f>
        <v>0</v>
      </c>
      <c r="R23" s="102">
        <f t="shared" si="23"/>
        <v>0</v>
      </c>
      <c r="S23" s="115"/>
      <c r="U23" s="37"/>
      <c r="V23" s="37"/>
      <c r="W23" s="37"/>
      <c r="X23" s="37"/>
      <c r="Y23" s="54"/>
      <c r="Z23" s="49"/>
      <c r="AA23" s="68"/>
      <c r="AB23" s="68"/>
      <c r="AC23" s="69"/>
      <c r="AD23" s="69"/>
      <c r="AE23" s="2">
        <f t="shared" ref="AE23:AF29" si="24">AE63+AE103</f>
        <v>0</v>
      </c>
      <c r="AF23" s="102">
        <f t="shared" si="24"/>
        <v>0</v>
      </c>
      <c r="AG23" s="115"/>
      <c r="AH23" s="115"/>
      <c r="AI23" s="71"/>
      <c r="AJ23" s="71"/>
      <c r="AK23" s="37"/>
      <c r="AL23" s="37"/>
      <c r="AM23" s="54"/>
      <c r="AN23" s="51"/>
      <c r="AO23" s="68"/>
      <c r="AP23" s="68"/>
      <c r="AQ23" s="68"/>
      <c r="AR23" s="78"/>
    </row>
    <row r="24" spans="1:44" x14ac:dyDescent="0.25">
      <c r="A24" s="261"/>
      <c r="B24" s="5" t="s">
        <v>1</v>
      </c>
      <c r="C24" s="2"/>
      <c r="E24" s="2"/>
      <c r="G24" s="71"/>
      <c r="H24" s="115"/>
      <c r="I24" s="37"/>
      <c r="J24" s="37"/>
      <c r="K24" s="54"/>
      <c r="L24" s="51"/>
      <c r="M24" s="68"/>
      <c r="N24" s="68"/>
      <c r="O24" s="68"/>
      <c r="P24" s="78"/>
      <c r="Q24" s="2">
        <f t="shared" si="23"/>
        <v>0</v>
      </c>
      <c r="R24" s="102">
        <f t="shared" si="23"/>
        <v>0</v>
      </c>
      <c r="S24" s="115"/>
      <c r="U24" s="37"/>
      <c r="V24" s="37"/>
      <c r="W24" s="37"/>
      <c r="X24" s="37"/>
      <c r="Y24" s="54"/>
      <c r="Z24" s="49"/>
      <c r="AA24" s="68"/>
      <c r="AB24" s="68"/>
      <c r="AC24" s="69"/>
      <c r="AD24" s="69"/>
      <c r="AE24" s="2">
        <f t="shared" si="24"/>
        <v>0</v>
      </c>
      <c r="AF24" s="102">
        <f t="shared" si="24"/>
        <v>0</v>
      </c>
      <c r="AG24" s="115"/>
      <c r="AH24" s="115"/>
      <c r="AI24" s="71"/>
      <c r="AJ24" s="71"/>
      <c r="AK24" s="37"/>
      <c r="AL24" s="37"/>
      <c r="AM24" s="54"/>
      <c r="AN24" s="51"/>
      <c r="AO24" s="68"/>
      <c r="AP24" s="68"/>
      <c r="AQ24" s="68"/>
      <c r="AR24" s="78"/>
    </row>
    <row r="25" spans="1:44" x14ac:dyDescent="0.25">
      <c r="A25" s="261"/>
      <c r="B25" s="5" t="s">
        <v>2</v>
      </c>
      <c r="C25" s="2"/>
      <c r="E25" s="2"/>
      <c r="G25" s="71"/>
      <c r="H25" s="115"/>
      <c r="I25" s="37"/>
      <c r="J25" s="37"/>
      <c r="K25" s="54"/>
      <c r="L25" s="51"/>
      <c r="M25" s="68"/>
      <c r="N25" s="68"/>
      <c r="O25" s="68"/>
      <c r="P25" s="78"/>
      <c r="Q25" s="2">
        <f t="shared" si="23"/>
        <v>0</v>
      </c>
      <c r="R25" s="102">
        <f t="shared" si="23"/>
        <v>0</v>
      </c>
      <c r="S25" s="115"/>
      <c r="U25" s="37"/>
      <c r="V25" s="37"/>
      <c r="W25" s="37"/>
      <c r="X25" s="37"/>
      <c r="Y25" s="54"/>
      <c r="Z25" s="49"/>
      <c r="AA25" s="68"/>
      <c r="AB25" s="68"/>
      <c r="AC25" s="69"/>
      <c r="AD25" s="69"/>
      <c r="AE25" s="2">
        <f t="shared" si="24"/>
        <v>0</v>
      </c>
      <c r="AF25" s="102">
        <f t="shared" si="24"/>
        <v>0</v>
      </c>
      <c r="AG25" s="115"/>
      <c r="AH25" s="115"/>
      <c r="AI25" s="71"/>
      <c r="AJ25" s="71"/>
      <c r="AK25" s="37"/>
      <c r="AL25" s="37"/>
      <c r="AM25" s="54"/>
      <c r="AN25" s="51"/>
      <c r="AO25" s="68"/>
      <c r="AP25" s="68"/>
      <c r="AQ25" s="68"/>
      <c r="AR25" s="78"/>
    </row>
    <row r="26" spans="1:44" x14ac:dyDescent="0.25">
      <c r="A26" s="261"/>
      <c r="B26" s="5" t="s">
        <v>3</v>
      </c>
      <c r="C26" s="2">
        <v>54</v>
      </c>
      <c r="E26" s="2">
        <v>210</v>
      </c>
      <c r="G26" s="71">
        <f t="shared" ref="G26:G31" si="25">IF(C26,E26/C26,"")</f>
        <v>3.8888888888888888</v>
      </c>
      <c r="H26" s="115"/>
      <c r="I26" s="37">
        <f>((C66-1)*I66+(C106-1)*I106)/(C66+C106-2)</f>
        <v>3.3947476103709682</v>
      </c>
      <c r="J26" s="37"/>
      <c r="K26" s="54">
        <f>K66+K106</f>
        <v>8376.8000000000011</v>
      </c>
      <c r="L26" s="51"/>
      <c r="M26" s="68">
        <f t="shared" ref="M26:M31" si="26">K26/C26</f>
        <v>155.12592592592594</v>
      </c>
      <c r="N26" s="68"/>
      <c r="O26" s="68"/>
      <c r="P26" s="78"/>
      <c r="Q26" s="2">
        <f t="shared" si="23"/>
        <v>2</v>
      </c>
      <c r="R26" s="102">
        <f t="shared" si="23"/>
        <v>0</v>
      </c>
      <c r="S26" s="115">
        <f t="shared" ref="S26:T29" si="27">S66+S106</f>
        <v>6</v>
      </c>
      <c r="T26" s="115">
        <f t="shared" si="27"/>
        <v>0</v>
      </c>
      <c r="U26" s="37">
        <f t="shared" ref="U26:V31" si="28">IF(Q26,S26/Q26,"")</f>
        <v>3</v>
      </c>
      <c r="V26" s="37" t="str">
        <f t="shared" si="28"/>
        <v/>
      </c>
      <c r="W26" s="37"/>
      <c r="X26" s="37"/>
      <c r="Y26" s="54"/>
      <c r="Z26" s="49"/>
      <c r="AA26" s="68"/>
      <c r="AB26" s="68"/>
      <c r="AC26" s="69"/>
      <c r="AD26" s="69"/>
      <c r="AE26" s="2">
        <f t="shared" si="24"/>
        <v>0</v>
      </c>
      <c r="AF26" s="102">
        <f t="shared" si="24"/>
        <v>0</v>
      </c>
      <c r="AG26" s="115">
        <f t="shared" ref="AG26:AH29" si="29">AG66+AG106</f>
        <v>0</v>
      </c>
      <c r="AH26" s="115">
        <f t="shared" si="29"/>
        <v>0</v>
      </c>
      <c r="AI26" s="71" t="str">
        <f t="shared" ref="AI26:AJ31" si="30">IF(AE26,AG26/AE26,"")</f>
        <v/>
      </c>
      <c r="AJ26" s="71" t="str">
        <f t="shared" si="30"/>
        <v/>
      </c>
      <c r="AK26" s="37">
        <f t="shared" ref="AK26:AL31" si="31">((AE66-1)*AK66+(AE106-1)*AK106)/(AE66+AE106-2)</f>
        <v>0</v>
      </c>
      <c r="AL26" s="37">
        <f t="shared" si="31"/>
        <v>0</v>
      </c>
      <c r="AM26" s="54"/>
      <c r="AN26" s="51"/>
      <c r="AO26" s="68"/>
      <c r="AP26" s="68"/>
      <c r="AQ26" s="68"/>
      <c r="AR26" s="78"/>
    </row>
    <row r="27" spans="1:44" x14ac:dyDescent="0.25">
      <c r="A27" s="261"/>
      <c r="B27" s="5" t="s">
        <v>4</v>
      </c>
      <c r="C27" s="2">
        <v>2502</v>
      </c>
      <c r="E27" s="2">
        <v>12984</v>
      </c>
      <c r="G27" s="71">
        <f t="shared" si="25"/>
        <v>5.1894484412470021</v>
      </c>
      <c r="H27" s="115"/>
      <c r="I27" s="37">
        <f>((C67-1)*I67+(C107-1)*I107)/(C67+C107-2)</f>
        <v>5.049765444377508</v>
      </c>
      <c r="J27" s="37"/>
      <c r="K27" s="54">
        <f>K67+K107</f>
        <v>839766.27980099246</v>
      </c>
      <c r="L27" s="51"/>
      <c r="M27" s="68">
        <f t="shared" si="26"/>
        <v>335.63800151918161</v>
      </c>
      <c r="N27" s="68"/>
      <c r="O27" s="68"/>
      <c r="P27" s="78"/>
      <c r="Q27" s="2">
        <f t="shared" si="23"/>
        <v>93</v>
      </c>
      <c r="R27" s="102">
        <f t="shared" si="23"/>
        <v>37</v>
      </c>
      <c r="S27" s="115">
        <f t="shared" si="27"/>
        <v>561</v>
      </c>
      <c r="T27" s="115">
        <f t="shared" si="27"/>
        <v>385</v>
      </c>
      <c r="U27" s="37">
        <f t="shared" si="28"/>
        <v>6.032258064516129</v>
      </c>
      <c r="V27" s="37">
        <f t="shared" si="28"/>
        <v>10.405405405405405</v>
      </c>
      <c r="W27" s="37">
        <f t="shared" ref="W27:X31" si="32">((Q67-1)*W67+(Q107-1)*W107)/(Q67+Q107-2)</f>
        <v>3.9868842544384901</v>
      </c>
      <c r="X27" s="37">
        <f t="shared" si="32"/>
        <v>20.279609661870776</v>
      </c>
      <c r="Y27" s="54">
        <f t="shared" ref="Y27:Z29" si="33">Y67+Y107</f>
        <v>35880.341429425498</v>
      </c>
      <c r="Z27" s="49">
        <f t="shared" si="33"/>
        <v>24623.763726076319</v>
      </c>
      <c r="AA27" s="68">
        <f t="shared" ref="AA27:AB30" si="34">Y27/Q27</f>
        <v>385.81012289704836</v>
      </c>
      <c r="AB27" s="68">
        <f t="shared" si="34"/>
        <v>665.50712773179237</v>
      </c>
      <c r="AC27" s="69"/>
      <c r="AD27" s="69"/>
      <c r="AE27" s="2">
        <f t="shared" si="24"/>
        <v>33</v>
      </c>
      <c r="AF27" s="102">
        <f t="shared" si="24"/>
        <v>11</v>
      </c>
      <c r="AG27" s="115">
        <f t="shared" si="29"/>
        <v>611</v>
      </c>
      <c r="AH27" s="115">
        <f t="shared" si="29"/>
        <v>672</v>
      </c>
      <c r="AI27" s="71">
        <f t="shared" si="30"/>
        <v>18.515151515151516</v>
      </c>
      <c r="AJ27" s="71">
        <f t="shared" si="30"/>
        <v>61.090909090909093</v>
      </c>
      <c r="AK27" s="37">
        <f t="shared" si="31"/>
        <v>18.586220181767999</v>
      </c>
      <c r="AL27" s="37">
        <f t="shared" si="31"/>
        <v>177.63915049617</v>
      </c>
      <c r="AM27" s="54">
        <v>12984</v>
      </c>
      <c r="AN27" s="51">
        <v>12984</v>
      </c>
      <c r="AO27" s="68">
        <f t="shared" ref="AO27:AP30" si="35">AM27/AE27</f>
        <v>393.45454545454544</v>
      </c>
      <c r="AP27" s="68">
        <f t="shared" si="35"/>
        <v>1180.3636363636363</v>
      </c>
      <c r="AQ27" s="68"/>
      <c r="AR27" s="78"/>
    </row>
    <row r="28" spans="1:44" x14ac:dyDescent="0.25">
      <c r="A28" s="261"/>
      <c r="B28" s="5" t="s">
        <v>5</v>
      </c>
      <c r="C28" s="2">
        <v>4409</v>
      </c>
      <c r="E28" s="2">
        <v>29193</v>
      </c>
      <c r="G28" s="71">
        <f t="shared" si="25"/>
        <v>6.6212293036969836</v>
      </c>
      <c r="H28" s="115"/>
      <c r="I28" s="37">
        <f>((C68-1)*I68+(C108-1)*I108)/(C68+C108-2)</f>
        <v>8.532749768260727</v>
      </c>
      <c r="J28" s="37"/>
      <c r="K28" s="54">
        <f>K68+K108</f>
        <v>2763124.620037219</v>
      </c>
      <c r="L28" s="51"/>
      <c r="M28" s="68">
        <f t="shared" si="26"/>
        <v>626.70097982245841</v>
      </c>
      <c r="N28" s="68"/>
      <c r="O28" s="68"/>
      <c r="P28" s="78"/>
      <c r="Q28" s="2">
        <f t="shared" si="23"/>
        <v>138</v>
      </c>
      <c r="R28" s="102">
        <f t="shared" si="23"/>
        <v>37</v>
      </c>
      <c r="S28" s="115">
        <f t="shared" si="27"/>
        <v>1523</v>
      </c>
      <c r="T28" s="115">
        <f t="shared" si="27"/>
        <v>471</v>
      </c>
      <c r="U28" s="37">
        <f t="shared" si="28"/>
        <v>11.036231884057971</v>
      </c>
      <c r="V28" s="37">
        <f t="shared" si="28"/>
        <v>12.72972972972973</v>
      </c>
      <c r="W28" s="37">
        <f t="shared" si="32"/>
        <v>26.962192191876788</v>
      </c>
      <c r="X28" s="37">
        <f t="shared" si="32"/>
        <v>21.450706714064673</v>
      </c>
      <c r="Y28" s="54">
        <f t="shared" si="33"/>
        <v>139799.30889365103</v>
      </c>
      <c r="Z28" s="49">
        <f t="shared" si="33"/>
        <v>43234.060728108765</v>
      </c>
      <c r="AA28" s="68">
        <f t="shared" si="34"/>
        <v>1013.0384702438481</v>
      </c>
      <c r="AB28" s="68">
        <f t="shared" si="34"/>
        <v>1168.4881277867235</v>
      </c>
      <c r="AC28" s="69"/>
      <c r="AD28" s="69"/>
      <c r="AE28" s="2">
        <f t="shared" si="24"/>
        <v>129</v>
      </c>
      <c r="AF28" s="102">
        <f t="shared" si="24"/>
        <v>32</v>
      </c>
      <c r="AG28" s="115">
        <f t="shared" si="29"/>
        <v>2764</v>
      </c>
      <c r="AH28" s="115">
        <f t="shared" si="29"/>
        <v>1847</v>
      </c>
      <c r="AI28" s="71">
        <f t="shared" si="30"/>
        <v>21.426356589147286</v>
      </c>
      <c r="AJ28" s="71">
        <f t="shared" si="30"/>
        <v>57.71875</v>
      </c>
      <c r="AK28" s="37">
        <f t="shared" si="31"/>
        <v>48.731209105112562</v>
      </c>
      <c r="AL28" s="37">
        <f t="shared" si="31"/>
        <v>149.12087157114564</v>
      </c>
      <c r="AM28" s="54">
        <v>29193</v>
      </c>
      <c r="AN28" s="51">
        <v>29193</v>
      </c>
      <c r="AO28" s="68">
        <f t="shared" si="35"/>
        <v>226.30232558139534</v>
      </c>
      <c r="AP28" s="68">
        <f t="shared" si="35"/>
        <v>912.28125</v>
      </c>
      <c r="AQ28" s="68"/>
      <c r="AR28" s="78"/>
    </row>
    <row r="29" spans="1:44" x14ac:dyDescent="0.25">
      <c r="A29" s="261"/>
      <c r="B29" s="6" t="s">
        <v>6</v>
      </c>
      <c r="C29" s="8">
        <v>348</v>
      </c>
      <c r="D29" s="53"/>
      <c r="E29" s="8">
        <v>2617</v>
      </c>
      <c r="F29" s="6"/>
      <c r="G29" s="39">
        <f t="shared" si="25"/>
        <v>7.5201149425287355</v>
      </c>
      <c r="H29" s="6"/>
      <c r="I29" s="39">
        <f>((C69-1)*I69+(C109-1)*I109)/(C69+C109-2)</f>
        <v>7.5670220112278193</v>
      </c>
      <c r="J29" s="39"/>
      <c r="K29" s="55">
        <f>K69+K109</f>
        <v>166366.55247033876</v>
      </c>
      <c r="L29" s="50"/>
      <c r="M29" s="68">
        <f t="shared" si="26"/>
        <v>478.06480594924932</v>
      </c>
      <c r="N29" s="75"/>
      <c r="O29" s="75"/>
      <c r="P29" s="79"/>
      <c r="Q29" s="8">
        <f t="shared" si="23"/>
        <v>13</v>
      </c>
      <c r="R29" s="102">
        <f t="shared" si="23"/>
        <v>1</v>
      </c>
      <c r="S29" s="8">
        <f t="shared" si="27"/>
        <v>144</v>
      </c>
      <c r="T29" s="6">
        <f t="shared" si="27"/>
        <v>5</v>
      </c>
      <c r="U29" s="39">
        <f t="shared" si="28"/>
        <v>11.076923076923077</v>
      </c>
      <c r="V29" s="39">
        <f t="shared" si="28"/>
        <v>5</v>
      </c>
      <c r="W29" s="39">
        <f t="shared" si="32"/>
        <v>9.6393978598151655</v>
      </c>
      <c r="X29" s="39">
        <f t="shared" si="32"/>
        <v>0</v>
      </c>
      <c r="Y29" s="55">
        <f t="shared" si="33"/>
        <v>9802.284597270369</v>
      </c>
      <c r="Z29" s="50">
        <f t="shared" si="33"/>
        <v>340.35710407188782</v>
      </c>
      <c r="AA29" s="68">
        <f t="shared" si="34"/>
        <v>754.02189209772064</v>
      </c>
      <c r="AB29" s="68">
        <f t="shared" si="34"/>
        <v>340.35710407188782</v>
      </c>
      <c r="AC29" s="75"/>
      <c r="AD29" s="75"/>
      <c r="AE29" s="8">
        <f t="shared" si="24"/>
        <v>11</v>
      </c>
      <c r="AF29" s="102">
        <f t="shared" si="24"/>
        <v>9</v>
      </c>
      <c r="AG29" s="8">
        <f t="shared" si="29"/>
        <v>377</v>
      </c>
      <c r="AH29" s="6">
        <f t="shared" si="29"/>
        <v>129</v>
      </c>
      <c r="AI29" s="39">
        <f t="shared" si="30"/>
        <v>34.272727272727273</v>
      </c>
      <c r="AJ29" s="39">
        <f t="shared" si="30"/>
        <v>14.333333333333334</v>
      </c>
      <c r="AK29" s="39">
        <f t="shared" si="31"/>
        <v>89.270141980161782</v>
      </c>
      <c r="AL29" s="39">
        <f t="shared" si="31"/>
        <v>7.5011903817232293</v>
      </c>
      <c r="AM29" s="55">
        <v>2617</v>
      </c>
      <c r="AN29" s="50">
        <v>2617</v>
      </c>
      <c r="AO29" s="68">
        <f t="shared" si="35"/>
        <v>237.90909090909091</v>
      </c>
      <c r="AP29" s="68">
        <f t="shared" si="35"/>
        <v>290.77777777777777</v>
      </c>
      <c r="AQ29" s="75"/>
      <c r="AR29" s="79"/>
    </row>
    <row r="30" spans="1:44" ht="15.75" thickBot="1" x14ac:dyDescent="0.3">
      <c r="A30" s="262"/>
      <c r="B30" s="15" t="s">
        <v>14</v>
      </c>
      <c r="C30" s="66">
        <f>SUM(C23:C29)</f>
        <v>7313</v>
      </c>
      <c r="D30" s="99"/>
      <c r="E30" s="16">
        <f>SUM(E23:E29)</f>
        <v>45004</v>
      </c>
      <c r="F30" s="17"/>
      <c r="G30" s="70">
        <f t="shared" si="25"/>
        <v>6.1539723779570625</v>
      </c>
      <c r="H30" s="67"/>
      <c r="I30" s="40">
        <f>SQRT(((C27-1)*I27^2+(C28-1)*I28^2+(C29-1)*I29^2)/(C27+C28+C29-3))</f>
        <v>7.4671445952550801</v>
      </c>
      <c r="J30" s="40"/>
      <c r="K30" s="74">
        <f>SUM(K23:K29)</f>
        <v>3777634.2523085503</v>
      </c>
      <c r="L30" s="57"/>
      <c r="M30" s="77">
        <f t="shared" si="26"/>
        <v>516.56423523978538</v>
      </c>
      <c r="N30" s="77"/>
      <c r="O30" s="77"/>
      <c r="P30" s="80"/>
      <c r="Q30" s="66">
        <f>SUM(Q23:Q29)</f>
        <v>246</v>
      </c>
      <c r="R30" s="104">
        <f>SUM(R23:R29)</f>
        <v>75</v>
      </c>
      <c r="S30" s="35">
        <f>SUM(S23:S29)</f>
        <v>2234</v>
      </c>
      <c r="T30" s="15">
        <f>SUM(T23:T29)</f>
        <v>861</v>
      </c>
      <c r="U30" s="40">
        <f t="shared" si="28"/>
        <v>9.0813008130081307</v>
      </c>
      <c r="V30" s="40">
        <f t="shared" si="28"/>
        <v>11.48</v>
      </c>
      <c r="W30" s="40">
        <f t="shared" si="32"/>
        <v>14.385621079966958</v>
      </c>
      <c r="X30" s="40">
        <f t="shared" si="32"/>
        <v>14.574066312189721</v>
      </c>
      <c r="Y30" s="74">
        <f>SUM(Y23:Y29)</f>
        <v>185481.93492034689</v>
      </c>
      <c r="Z30" s="57">
        <f>SUM(Z23:Z29)</f>
        <v>68198.181558256969</v>
      </c>
      <c r="AA30" s="77">
        <f t="shared" si="34"/>
        <v>753.99160536726379</v>
      </c>
      <c r="AB30" s="77">
        <f t="shared" si="34"/>
        <v>909.30908744342628</v>
      </c>
      <c r="AC30" s="77"/>
      <c r="AD30" s="77"/>
      <c r="AE30" s="66">
        <f>SUM(AE23:AE29)</f>
        <v>173</v>
      </c>
      <c r="AF30" s="104">
        <f>SUM(AF23:AF29)</f>
        <v>52</v>
      </c>
      <c r="AG30" s="35">
        <f>SUM(AG23:AG29)</f>
        <v>3752</v>
      </c>
      <c r="AH30" s="15">
        <f>SUM(AH23:AH29)</f>
        <v>2648</v>
      </c>
      <c r="AI30" s="40">
        <f t="shared" si="30"/>
        <v>21.687861271676301</v>
      </c>
      <c r="AJ30" s="40">
        <f t="shared" si="30"/>
        <v>50.92307692307692</v>
      </c>
      <c r="AK30" s="40">
        <f t="shared" si="31"/>
        <v>47.259229413600174</v>
      </c>
      <c r="AL30" s="40">
        <f t="shared" si="31"/>
        <v>106.79623099169201</v>
      </c>
      <c r="AM30" s="74">
        <f>SUM(AM23:AM29)</f>
        <v>44794</v>
      </c>
      <c r="AN30" s="57">
        <f>SUM(AN23:AN29)</f>
        <v>44794</v>
      </c>
      <c r="AO30" s="77">
        <f t="shared" si="35"/>
        <v>258.92485549132948</v>
      </c>
      <c r="AP30" s="77">
        <f t="shared" si="35"/>
        <v>861.42307692307691</v>
      </c>
      <c r="AQ30" s="77"/>
      <c r="AR30" s="80"/>
    </row>
    <row r="31" spans="1:44" ht="16.5" thickTop="1" thickBot="1" x14ac:dyDescent="0.3">
      <c r="A31" s="259" t="s">
        <v>14</v>
      </c>
      <c r="B31" s="259"/>
      <c r="C31" s="101">
        <f>SUM(C14,C22,C30)</f>
        <v>31475</v>
      </c>
      <c r="D31" s="100"/>
      <c r="E31" s="81">
        <f>SUM(E30,E22,E14)</f>
        <v>211039</v>
      </c>
      <c r="F31" s="82"/>
      <c r="G31" s="83">
        <f t="shared" si="25"/>
        <v>6.7049722001588563</v>
      </c>
      <c r="H31" s="111"/>
      <c r="I31" s="83">
        <f>SQRT((I14^2*(C14-1)+I22^2*(C22-1)+I30^2*(C30-1))/(C14+C22+C30-3))</f>
        <v>8.2070772376415402</v>
      </c>
      <c r="J31" s="83"/>
      <c r="K31" s="84">
        <f>SUM(K30,K22,K14)</f>
        <v>17665625.61682529</v>
      </c>
      <c r="L31" s="85"/>
      <c r="M31" s="86">
        <f t="shared" si="26"/>
        <v>561.25895526053341</v>
      </c>
      <c r="N31" s="86"/>
      <c r="O31" s="86"/>
      <c r="P31" s="97"/>
      <c r="Q31" s="101">
        <f>SUM(Q14,Q22,Q30)</f>
        <v>823</v>
      </c>
      <c r="R31" s="105">
        <f>SUM(R14,R22,R30)</f>
        <v>343</v>
      </c>
      <c r="S31" s="81">
        <f>SUM(S14,S22,S30)</f>
        <v>6957</v>
      </c>
      <c r="T31" s="82">
        <f>SUM(T14,T22,T30)</f>
        <v>4970</v>
      </c>
      <c r="U31" s="83">
        <f t="shared" si="28"/>
        <v>8.45321992709599</v>
      </c>
      <c r="V31" s="83">
        <f t="shared" si="28"/>
        <v>14.489795918367347</v>
      </c>
      <c r="W31" s="83">
        <f t="shared" si="32"/>
        <v>14.553356823550454</v>
      </c>
      <c r="X31" s="83">
        <f t="shared" si="32"/>
        <v>27.653000526033814</v>
      </c>
      <c r="Y31" s="81">
        <f>SUM(Y30,Y22,Y14)</f>
        <v>568126.37181629194</v>
      </c>
      <c r="Z31" s="82">
        <f>SUM(Z30,Z22,Z14)</f>
        <v>419350.63731455058</v>
      </c>
      <c r="AA31" s="85">
        <f>AA14+AA22+AA30</f>
        <v>2083.1841737690306</v>
      </c>
      <c r="AB31" s="85">
        <f>AB14+AB22+AB30</f>
        <v>3144.033466168582</v>
      </c>
      <c r="AC31" s="86"/>
      <c r="AD31" s="86"/>
      <c r="AE31" s="101">
        <f>SUM(AE14,AE22,AE30)</f>
        <v>1502</v>
      </c>
      <c r="AF31" s="105">
        <f>SUM(AF14,AF22,AF30)</f>
        <v>267</v>
      </c>
      <c r="AG31" s="81">
        <f>SUM(AG14,AG22,AG30)</f>
        <v>17983</v>
      </c>
      <c r="AH31" s="82">
        <f>SUM(AH14,AH22,AH30)</f>
        <v>11477</v>
      </c>
      <c r="AI31" s="83">
        <f t="shared" si="30"/>
        <v>11.972703062583223</v>
      </c>
      <c r="AJ31" s="83">
        <f t="shared" si="30"/>
        <v>42.985018726591761</v>
      </c>
      <c r="AK31" s="83">
        <f t="shared" si="31"/>
        <v>31.855320721364595</v>
      </c>
      <c r="AL31" s="83">
        <f t="shared" si="31"/>
        <v>89.510357413868689</v>
      </c>
      <c r="AM31" s="84">
        <f>SUM(AM30,AM22,AM14)</f>
        <v>580452.69876220147</v>
      </c>
      <c r="AN31" s="85">
        <f>SUM(AN30,AN22,AN14)</f>
        <v>328412.01186343044</v>
      </c>
      <c r="AO31" s="85">
        <f>AO14+AO22+AO30</f>
        <v>1308.0818534653515</v>
      </c>
      <c r="AP31" s="85">
        <f>AP14+AP22+AP30</f>
        <v>4229.9862796732832</v>
      </c>
      <c r="AQ31" s="86"/>
      <c r="AR31" s="97"/>
    </row>
    <row r="32" spans="1:44" x14ac:dyDescent="0.25">
      <c r="A32" s="273" t="s">
        <v>35</v>
      </c>
      <c r="B32" s="5" t="s">
        <v>0</v>
      </c>
      <c r="C32" s="3"/>
      <c r="D32" s="9"/>
      <c r="E32" s="3"/>
      <c r="F32" s="9"/>
      <c r="G32" s="71"/>
      <c r="H32" s="115"/>
      <c r="I32" s="71"/>
      <c r="J32" s="71"/>
      <c r="K32" s="54"/>
      <c r="L32" s="51"/>
      <c r="M32" s="68"/>
      <c r="N32" s="68"/>
      <c r="O32" s="68"/>
      <c r="P32" s="78"/>
      <c r="Q32" s="3">
        <f t="shared" ref="Q32:R38" si="36">SUM(Q7,Q15,Q23)</f>
        <v>0</v>
      </c>
      <c r="R32" s="106">
        <f t="shared" si="36"/>
        <v>0</v>
      </c>
      <c r="S32" s="3"/>
      <c r="T32" s="9"/>
      <c r="U32" s="37"/>
      <c r="V32" s="37"/>
      <c r="W32" s="71"/>
      <c r="X32" s="71"/>
      <c r="Y32" s="3"/>
      <c r="Z32" s="9"/>
      <c r="AA32" s="51"/>
      <c r="AB32" s="51"/>
      <c r="AC32" s="68"/>
      <c r="AD32" s="68"/>
      <c r="AE32" s="3">
        <f t="shared" ref="AE32:AF38" si="37">SUM(AE7,AE15,AE23)</f>
        <v>0</v>
      </c>
      <c r="AF32" s="106">
        <f t="shared" si="37"/>
        <v>0</v>
      </c>
      <c r="AG32" s="3"/>
      <c r="AH32" s="9"/>
      <c r="AI32" s="71"/>
      <c r="AJ32" s="71"/>
      <c r="AK32" s="71"/>
      <c r="AL32" s="71"/>
      <c r="AM32" s="54"/>
      <c r="AN32" s="51"/>
      <c r="AO32" s="51"/>
      <c r="AP32" s="51"/>
      <c r="AQ32" s="68"/>
      <c r="AR32" s="78"/>
    </row>
    <row r="33" spans="1:44" x14ac:dyDescent="0.25">
      <c r="A33" s="261"/>
      <c r="B33" s="5" t="s">
        <v>1</v>
      </c>
      <c r="C33" s="3"/>
      <c r="D33" s="9"/>
      <c r="E33" s="3"/>
      <c r="F33" s="9"/>
      <c r="G33" s="71"/>
      <c r="H33" s="115"/>
      <c r="I33" s="71"/>
      <c r="J33" s="71"/>
      <c r="K33" s="54"/>
      <c r="L33" s="51"/>
      <c r="M33" s="68"/>
      <c r="N33" s="68"/>
      <c r="O33" s="68"/>
      <c r="P33" s="78"/>
      <c r="Q33" s="3">
        <f t="shared" si="36"/>
        <v>0</v>
      </c>
      <c r="R33" s="106">
        <f t="shared" si="36"/>
        <v>0</v>
      </c>
      <c r="S33" s="3"/>
      <c r="T33" s="9"/>
      <c r="U33" s="37"/>
      <c r="V33" s="37"/>
      <c r="W33" s="71"/>
      <c r="X33" s="71"/>
      <c r="Y33" s="3"/>
      <c r="Z33" s="9"/>
      <c r="AA33" s="51"/>
      <c r="AB33" s="51"/>
      <c r="AC33" s="68"/>
      <c r="AD33" s="68"/>
      <c r="AE33" s="3">
        <f t="shared" si="37"/>
        <v>0</v>
      </c>
      <c r="AF33" s="106">
        <f t="shared" si="37"/>
        <v>0</v>
      </c>
      <c r="AG33" s="3"/>
      <c r="AH33" s="9"/>
      <c r="AI33" s="71"/>
      <c r="AJ33" s="71"/>
      <c r="AK33" s="71"/>
      <c r="AL33" s="71"/>
      <c r="AM33" s="54"/>
      <c r="AN33" s="51"/>
      <c r="AO33" s="51"/>
      <c r="AP33" s="51"/>
      <c r="AQ33" s="68"/>
      <c r="AR33" s="78"/>
    </row>
    <row r="34" spans="1:44" x14ac:dyDescent="0.25">
      <c r="A34" s="261"/>
      <c r="B34" s="5" t="s">
        <v>2</v>
      </c>
      <c r="C34" s="3"/>
      <c r="D34" s="9"/>
      <c r="E34" s="3"/>
      <c r="F34" s="9"/>
      <c r="G34" s="71"/>
      <c r="H34" s="115"/>
      <c r="I34" s="71"/>
      <c r="J34" s="71"/>
      <c r="K34" s="54"/>
      <c r="L34" s="51"/>
      <c r="M34" s="68"/>
      <c r="N34" s="68"/>
      <c r="O34" s="68"/>
      <c r="P34" s="78"/>
      <c r="Q34" s="3">
        <f t="shared" si="36"/>
        <v>0</v>
      </c>
      <c r="R34" s="106">
        <f t="shared" si="36"/>
        <v>0</v>
      </c>
      <c r="S34" s="3"/>
      <c r="T34" s="9"/>
      <c r="U34" s="37"/>
      <c r="V34" s="37"/>
      <c r="W34" s="71"/>
      <c r="X34" s="71"/>
      <c r="Y34" s="3"/>
      <c r="Z34" s="9"/>
      <c r="AA34" s="51"/>
      <c r="AB34" s="51"/>
      <c r="AC34" s="68"/>
      <c r="AD34" s="68"/>
      <c r="AE34" s="3">
        <f t="shared" si="37"/>
        <v>0</v>
      </c>
      <c r="AF34" s="106">
        <f t="shared" si="37"/>
        <v>0</v>
      </c>
      <c r="AG34" s="3"/>
      <c r="AH34" s="9"/>
      <c r="AI34" s="71"/>
      <c r="AJ34" s="71"/>
      <c r="AK34" s="71"/>
      <c r="AL34" s="71"/>
      <c r="AM34" s="54"/>
      <c r="AN34" s="51"/>
      <c r="AO34" s="51"/>
      <c r="AP34" s="51"/>
      <c r="AQ34" s="68"/>
      <c r="AR34" s="78"/>
    </row>
    <row r="35" spans="1:44" x14ac:dyDescent="0.25">
      <c r="A35" s="261"/>
      <c r="B35" s="5" t="s">
        <v>3</v>
      </c>
      <c r="C35" s="3">
        <f>SUM(C10,C18,C26)</f>
        <v>173</v>
      </c>
      <c r="D35" s="9"/>
      <c r="E35" s="3">
        <f>SUM(E10,E18,E26)</f>
        <v>1096</v>
      </c>
      <c r="F35" s="9"/>
      <c r="G35" s="71">
        <f>IF(C35,E35/C35,"")</f>
        <v>6.3352601156069364</v>
      </c>
      <c r="H35" s="115"/>
      <c r="I35" s="71">
        <f>SQRT((I10^2*(C10-1)+I18^2*(C18-1)+I26^2*(C26-1))/(C10+C18+C26-3))</f>
        <v>23.874775779892683</v>
      </c>
      <c r="J35" s="71"/>
      <c r="K35" s="54">
        <f>SUM(K10,K18,K26)</f>
        <v>38709.124880000003</v>
      </c>
      <c r="L35" s="51"/>
      <c r="M35" s="68">
        <f>K35/C35</f>
        <v>223.75216693641622</v>
      </c>
      <c r="N35" s="68"/>
      <c r="O35" s="68"/>
      <c r="P35" s="78"/>
      <c r="Q35" s="3">
        <f t="shared" si="36"/>
        <v>6</v>
      </c>
      <c r="R35" s="106">
        <f t="shared" si="36"/>
        <v>5</v>
      </c>
      <c r="S35" s="3">
        <f t="shared" ref="S35:T38" si="38">SUM(S10,S18,S26)</f>
        <v>33</v>
      </c>
      <c r="T35" s="9">
        <f t="shared" si="38"/>
        <v>11</v>
      </c>
      <c r="U35" s="37">
        <f t="shared" ref="U35:V39" si="39">IF(Q35,S35/Q35,"")</f>
        <v>5.5</v>
      </c>
      <c r="V35" s="37">
        <f t="shared" si="39"/>
        <v>2.2000000000000002</v>
      </c>
      <c r="W35" s="71">
        <f t="shared" ref="W35:X39" si="40">SQRT((W10^2*(Q10-1)+W18^2*(Q18-1)+W26^2*(Q26-1))/(Q10+Q18+Q26-3))</f>
        <v>0</v>
      </c>
      <c r="X35" s="71">
        <f t="shared" si="40"/>
        <v>2</v>
      </c>
      <c r="Y35" s="3"/>
      <c r="Z35" s="9"/>
      <c r="AA35" s="51"/>
      <c r="AB35" s="51"/>
      <c r="AC35" s="68"/>
      <c r="AD35" s="68"/>
      <c r="AE35" s="3">
        <f t="shared" si="37"/>
        <v>2</v>
      </c>
      <c r="AF35" s="106">
        <f t="shared" si="37"/>
        <v>1</v>
      </c>
      <c r="AG35" s="3">
        <f t="shared" ref="AG35:AH38" si="41">SUM(AG10,AG18,AG26)</f>
        <v>5</v>
      </c>
      <c r="AH35" s="9">
        <f t="shared" si="41"/>
        <v>5</v>
      </c>
      <c r="AI35" s="71">
        <f t="shared" ref="AI35:AJ39" si="42">IF(AE35,AG35/AE35,"")</f>
        <v>2.5</v>
      </c>
      <c r="AJ35" s="71">
        <f t="shared" si="42"/>
        <v>5</v>
      </c>
      <c r="AK35" s="71" t="e">
        <f t="shared" ref="AK35:AL39" si="43">((AE75-1)*AK75+(AE115-1)*AK115)/(AE75+AE115-2)</f>
        <v>#DIV/0!</v>
      </c>
      <c r="AL35" s="71">
        <f t="shared" si="43"/>
        <v>0</v>
      </c>
      <c r="AM35" s="54"/>
      <c r="AN35" s="51"/>
      <c r="AO35" s="51"/>
      <c r="AP35" s="51"/>
      <c r="AQ35" s="68"/>
      <c r="AR35" s="78"/>
    </row>
    <row r="36" spans="1:44" x14ac:dyDescent="0.25">
      <c r="A36" s="261"/>
      <c r="B36" s="5" t="s">
        <v>4</v>
      </c>
      <c r="C36" s="3">
        <f>SUM(C11,C19,C27)</f>
        <v>9610</v>
      </c>
      <c r="D36" s="9"/>
      <c r="E36" s="3">
        <f>SUM(E11,E19,E27)</f>
        <v>53955</v>
      </c>
      <c r="F36" s="9"/>
      <c r="G36" s="71">
        <f>IF(C36,E36/C36,"")</f>
        <v>5.6144640998959421</v>
      </c>
      <c r="H36" s="115"/>
      <c r="I36" s="71">
        <f>SQRT((I11^2*(C11-1)+I19^2*(C19-1)+I27^2*(C27-1))/(C11+C19+C27-3))</f>
        <v>6.5115387296650473</v>
      </c>
      <c r="J36" s="71"/>
      <c r="K36" s="54">
        <f>SUM(K11,K19,K27)</f>
        <v>3462211.6350550451</v>
      </c>
      <c r="L36" s="51"/>
      <c r="M36" s="68">
        <f>K36/C36</f>
        <v>360.27176223257493</v>
      </c>
      <c r="N36" s="68"/>
      <c r="O36" s="68"/>
      <c r="P36" s="78"/>
      <c r="Q36" s="3">
        <f t="shared" si="36"/>
        <v>316</v>
      </c>
      <c r="R36" s="106">
        <f t="shared" si="36"/>
        <v>147</v>
      </c>
      <c r="S36" s="3">
        <f t="shared" si="38"/>
        <v>2376</v>
      </c>
      <c r="T36" s="9">
        <f t="shared" si="38"/>
        <v>1148</v>
      </c>
      <c r="U36" s="37">
        <f t="shared" si="39"/>
        <v>7.518987341772152</v>
      </c>
      <c r="V36" s="37">
        <f t="shared" si="39"/>
        <v>7.8095238095238093</v>
      </c>
      <c r="W36" s="71">
        <f t="shared" si="40"/>
        <v>21.575443153859776</v>
      </c>
      <c r="X36" s="71">
        <f t="shared" si="40"/>
        <v>12.425210339165261</v>
      </c>
      <c r="Y36" s="3">
        <f t="shared" ref="Y36:AB38" si="44">SUM(Y11,Y19,Y27)</f>
        <v>153368.90130703442</v>
      </c>
      <c r="Z36" s="9">
        <f t="shared" si="44"/>
        <v>73927.663607704715</v>
      </c>
      <c r="AA36" s="51">
        <f t="shared" si="44"/>
        <v>1422.9298254427017</v>
      </c>
      <c r="AB36" s="51">
        <f t="shared" si="44"/>
        <v>1545.316505902168</v>
      </c>
      <c r="AC36" s="68"/>
      <c r="AD36" s="68"/>
      <c r="AE36" s="3">
        <f t="shared" si="37"/>
        <v>350</v>
      </c>
      <c r="AF36" s="106">
        <f t="shared" si="37"/>
        <v>51</v>
      </c>
      <c r="AG36" s="3">
        <f t="shared" si="41"/>
        <v>2732</v>
      </c>
      <c r="AH36" s="9">
        <f t="shared" si="41"/>
        <v>2059</v>
      </c>
      <c r="AI36" s="71">
        <f t="shared" si="42"/>
        <v>7.805714285714286</v>
      </c>
      <c r="AJ36" s="71">
        <f t="shared" si="42"/>
        <v>40.372549019607845</v>
      </c>
      <c r="AK36" s="71">
        <f t="shared" si="43"/>
        <v>11.767663792297231</v>
      </c>
      <c r="AL36" s="71">
        <f t="shared" si="43"/>
        <v>115.82772963588167</v>
      </c>
      <c r="AM36" s="54">
        <f t="shared" ref="AM36:AP38" si="45">SUM(AM11,AM19,AM27)</f>
        <v>94852.514942609312</v>
      </c>
      <c r="AN36" s="51">
        <f t="shared" si="45"/>
        <v>81439.663030790165</v>
      </c>
      <c r="AO36" s="51">
        <f t="shared" si="45"/>
        <v>971.17399832875321</v>
      </c>
      <c r="AP36" s="51">
        <f t="shared" si="45"/>
        <v>5158.0538528486486</v>
      </c>
      <c r="AQ36" s="68"/>
      <c r="AR36" s="78"/>
    </row>
    <row r="37" spans="1:44" x14ac:dyDescent="0.25">
      <c r="A37" s="261"/>
      <c r="B37" s="5" t="s">
        <v>5</v>
      </c>
      <c r="C37" s="3">
        <f>SUM(C12,C20,C28)</f>
        <v>20213</v>
      </c>
      <c r="D37" s="9"/>
      <c r="E37" s="3">
        <f>SUM(E12,E20,E28)</f>
        <v>143913</v>
      </c>
      <c r="F37" s="9"/>
      <c r="G37" s="71">
        <f>IF(C37,E37/C37,"")</f>
        <v>7.1198238757235446</v>
      </c>
      <c r="H37" s="115"/>
      <c r="I37" s="71">
        <f>SQRT((I12^2*(C12-1)+I20^2*(C20-1)+I28^2*(C28-1))/(C12+C20+C28-3))</f>
        <v>8.8328051991843299</v>
      </c>
      <c r="J37" s="71"/>
      <c r="K37" s="54">
        <f>SUM(K12,K20,K28)</f>
        <v>13391347.214875041</v>
      </c>
      <c r="L37" s="51"/>
      <c r="M37" s="68">
        <f>K37/C37</f>
        <v>662.51161207515167</v>
      </c>
      <c r="N37" s="68"/>
      <c r="O37" s="68"/>
      <c r="P37" s="78"/>
      <c r="Q37" s="3">
        <f t="shared" si="36"/>
        <v>476</v>
      </c>
      <c r="R37" s="106">
        <f t="shared" si="36"/>
        <v>182</v>
      </c>
      <c r="S37" s="3">
        <f t="shared" si="38"/>
        <v>4277</v>
      </c>
      <c r="T37" s="9">
        <f t="shared" si="38"/>
        <v>3739</v>
      </c>
      <c r="U37" s="37">
        <f t="shared" si="39"/>
        <v>8.985294117647058</v>
      </c>
      <c r="V37" s="37">
        <f t="shared" si="39"/>
        <v>20.543956043956044</v>
      </c>
      <c r="W37" s="71">
        <f t="shared" si="40"/>
        <v>16.159472547549917</v>
      </c>
      <c r="X37" s="71">
        <f t="shared" si="40"/>
        <v>71.046082766758204</v>
      </c>
      <c r="Y37" s="3">
        <f t="shared" si="44"/>
        <v>396089.22370801854</v>
      </c>
      <c r="Z37" s="9">
        <f t="shared" si="44"/>
        <v>340590.67884322233</v>
      </c>
      <c r="AA37" s="51">
        <f t="shared" si="44"/>
        <v>2548.2933956014476</v>
      </c>
      <c r="AB37" s="51">
        <f t="shared" si="44"/>
        <v>4562.0281454305541</v>
      </c>
      <c r="AC37" s="68"/>
      <c r="AD37" s="68"/>
      <c r="AE37" s="3">
        <f t="shared" si="37"/>
        <v>1057</v>
      </c>
      <c r="AF37" s="106">
        <f t="shared" si="37"/>
        <v>190</v>
      </c>
      <c r="AG37" s="3">
        <f t="shared" si="41"/>
        <v>13474</v>
      </c>
      <c r="AH37" s="9">
        <f t="shared" si="41"/>
        <v>8289</v>
      </c>
      <c r="AI37" s="71">
        <f t="shared" si="42"/>
        <v>12.747398297067171</v>
      </c>
      <c r="AJ37" s="71">
        <f t="shared" si="42"/>
        <v>43.626315789473686</v>
      </c>
      <c r="AK37" s="71">
        <f t="shared" si="43"/>
        <v>33.938298406435521</v>
      </c>
      <c r="AL37" s="71">
        <f t="shared" si="43"/>
        <v>116.53404485104602</v>
      </c>
      <c r="AM37" s="54">
        <f t="shared" si="45"/>
        <v>461418.89825722482</v>
      </c>
      <c r="AN37" s="51">
        <f t="shared" si="45"/>
        <v>204321.17658928694</v>
      </c>
      <c r="AO37" s="51">
        <f t="shared" si="45"/>
        <v>1486.59025293793</v>
      </c>
      <c r="AP37" s="51">
        <f t="shared" si="45"/>
        <v>3816.1167352950097</v>
      </c>
      <c r="AQ37" s="68"/>
      <c r="AR37" s="78"/>
    </row>
    <row r="38" spans="1:44" x14ac:dyDescent="0.25">
      <c r="A38" s="261"/>
      <c r="B38" s="6" t="s">
        <v>6</v>
      </c>
      <c r="C38" s="10">
        <f>SUM(C13,C21,C29)</f>
        <v>1479</v>
      </c>
      <c r="D38" s="11"/>
      <c r="E38" s="10">
        <f>SUM(E13,E21,E29)</f>
        <v>12075</v>
      </c>
      <c r="F38" s="11"/>
      <c r="G38" s="39">
        <f>IF(C38,E38/C38,"")</f>
        <v>8.1643002028397564</v>
      </c>
      <c r="H38" s="6"/>
      <c r="I38" s="39">
        <f>SQRT((I13^2*(C13-1)+I21^2*(C21-1)+I29^2*(C29-1))/(C13+C21+C29-3))</f>
        <v>9.1444234600921579</v>
      </c>
      <c r="J38" s="39"/>
      <c r="K38" s="55">
        <f>SUM(K13,K21,K29)</f>
        <v>773357.64201520244</v>
      </c>
      <c r="L38" s="50"/>
      <c r="M38" s="75">
        <f>K38/C38</f>
        <v>522.89225288384205</v>
      </c>
      <c r="N38" s="75"/>
      <c r="O38" s="75"/>
      <c r="P38" s="79"/>
      <c r="Q38" s="10">
        <f t="shared" si="36"/>
        <v>25</v>
      </c>
      <c r="R38" s="107">
        <f t="shared" si="36"/>
        <v>9</v>
      </c>
      <c r="S38" s="10">
        <f t="shared" si="38"/>
        <v>271</v>
      </c>
      <c r="T38" s="11">
        <f t="shared" si="38"/>
        <v>72</v>
      </c>
      <c r="U38" s="39">
        <f t="shared" si="39"/>
        <v>10.84</v>
      </c>
      <c r="V38" s="39">
        <f t="shared" si="39"/>
        <v>8</v>
      </c>
      <c r="W38" s="39">
        <f t="shared" si="40"/>
        <v>9.1465911127443693</v>
      </c>
      <c r="X38" s="39">
        <f t="shared" si="40"/>
        <v>4.5657107098144447</v>
      </c>
      <c r="Y38" s="10">
        <f t="shared" si="44"/>
        <v>18668.246801238976</v>
      </c>
      <c r="Z38" s="11">
        <f t="shared" si="44"/>
        <v>4832.2948636235242</v>
      </c>
      <c r="AA38" s="50">
        <f t="shared" si="44"/>
        <v>2386.5617596337343</v>
      </c>
      <c r="AB38" s="50">
        <f t="shared" si="44"/>
        <v>1171.2815991801442</v>
      </c>
      <c r="AC38" s="75"/>
      <c r="AD38" s="75"/>
      <c r="AE38" s="10">
        <f t="shared" si="37"/>
        <v>93</v>
      </c>
      <c r="AF38" s="107">
        <f t="shared" si="37"/>
        <v>25</v>
      </c>
      <c r="AG38" s="10">
        <f t="shared" si="41"/>
        <v>1772</v>
      </c>
      <c r="AH38" s="11">
        <f t="shared" si="41"/>
        <v>1124</v>
      </c>
      <c r="AI38" s="39">
        <f t="shared" si="42"/>
        <v>19.053763440860216</v>
      </c>
      <c r="AJ38" s="39">
        <f t="shared" si="42"/>
        <v>44.96</v>
      </c>
      <c r="AK38" s="39">
        <f t="shared" si="43"/>
        <v>53.176963546463753</v>
      </c>
      <c r="AL38" s="39">
        <f t="shared" si="43"/>
        <v>79.949558337159672</v>
      </c>
      <c r="AM38" s="55">
        <f t="shared" si="45"/>
        <v>24181.285562367404</v>
      </c>
      <c r="AN38" s="50">
        <f t="shared" si="45"/>
        <v>42651.172243353285</v>
      </c>
      <c r="AO38" s="50">
        <f t="shared" si="45"/>
        <v>1044.0772558617932</v>
      </c>
      <c r="AP38" s="50">
        <f t="shared" si="45"/>
        <v>5785.5642887330087</v>
      </c>
      <c r="AQ38" s="75"/>
      <c r="AR38" s="79"/>
    </row>
    <row r="39" spans="1:44" ht="15.75" thickBot="1" x14ac:dyDescent="0.3">
      <c r="A39" s="262"/>
      <c r="B39" s="15" t="s">
        <v>14</v>
      </c>
      <c r="C39" s="16">
        <f>SUM(C32:C38)</f>
        <v>31475</v>
      </c>
      <c r="D39" s="17"/>
      <c r="E39" s="16">
        <f>SUM(E32:E38)</f>
        <v>211039</v>
      </c>
      <c r="F39" s="17"/>
      <c r="G39" s="70">
        <f>IF(C39,E39/C39,"")</f>
        <v>6.7049722001588563</v>
      </c>
      <c r="H39" s="67"/>
      <c r="I39" s="40">
        <f>SQRT(((C36-1)*I36^2+(C37-1)*I37^2+(C38-1)*I38^2)/(C36+C37+C38-3))</f>
        <v>8.2065784324729059</v>
      </c>
      <c r="J39" s="40"/>
      <c r="K39" s="74">
        <f>SUM(K32:K38)</f>
        <v>17665625.61682529</v>
      </c>
      <c r="L39" s="57"/>
      <c r="M39" s="77">
        <f>K39/C39</f>
        <v>561.25895526053341</v>
      </c>
      <c r="N39" s="77"/>
      <c r="O39" s="77"/>
      <c r="P39" s="80"/>
      <c r="Q39" s="16">
        <f>SUM(Q32:Q38)</f>
        <v>823</v>
      </c>
      <c r="R39" s="108">
        <f>SUM(R32:R38)</f>
        <v>343</v>
      </c>
      <c r="S39" s="16">
        <f>SUM(S32:S38)</f>
        <v>6957</v>
      </c>
      <c r="T39" s="17">
        <f>SUM(T32:T38)</f>
        <v>4970</v>
      </c>
      <c r="U39" s="40">
        <f t="shared" si="39"/>
        <v>8.45321992709599</v>
      </c>
      <c r="V39" s="40">
        <f t="shared" si="39"/>
        <v>14.489795918367347</v>
      </c>
      <c r="W39" s="40">
        <f t="shared" si="40"/>
        <v>15.401435425709654</v>
      </c>
      <c r="X39" s="40">
        <f t="shared" si="40"/>
        <v>34.759672278266649</v>
      </c>
      <c r="Y39" s="16">
        <f>SUM(Y32:Y38)</f>
        <v>568126.37181629194</v>
      </c>
      <c r="Z39" s="17">
        <f>SUM(Z32:Z38)</f>
        <v>419350.63731455052</v>
      </c>
      <c r="AA39" s="57">
        <f>Y39/Q39</f>
        <v>690.31150888978368</v>
      </c>
      <c r="AB39" s="57">
        <f>Z39/R39</f>
        <v>1222.5966102465029</v>
      </c>
      <c r="AC39" s="77"/>
      <c r="AD39" s="77"/>
      <c r="AE39" s="16">
        <f>SUM(AE32:AE38)</f>
        <v>1502</v>
      </c>
      <c r="AF39" s="108">
        <f>SUM(AF32:AF38)</f>
        <v>267</v>
      </c>
      <c r="AG39" s="16">
        <f>SUM(AG32:AG38)</f>
        <v>17983</v>
      </c>
      <c r="AH39" s="17">
        <f>SUM(AH32:AH38)</f>
        <v>11477</v>
      </c>
      <c r="AI39" s="40">
        <f t="shared" si="42"/>
        <v>11.972703062583223</v>
      </c>
      <c r="AJ39" s="40">
        <f t="shared" si="42"/>
        <v>42.985018726591761</v>
      </c>
      <c r="AK39" s="40">
        <f t="shared" si="43"/>
        <v>31.855320721364603</v>
      </c>
      <c r="AL39" s="40">
        <f t="shared" si="43"/>
        <v>89.510357413868675</v>
      </c>
      <c r="AM39" s="74">
        <f>SUM(AM32:AM38)</f>
        <v>580452.69876220159</v>
      </c>
      <c r="AN39" s="57">
        <f>SUM(AN32:AN38)</f>
        <v>328412.01186343038</v>
      </c>
      <c r="AO39" s="57">
        <f>SUM(AO32:AO38)</f>
        <v>3501.8415071284767</v>
      </c>
      <c r="AP39" s="57">
        <f>SUM(AP32:AP38)</f>
        <v>14759.734876876666</v>
      </c>
      <c r="AQ39" s="77"/>
      <c r="AR39" s="80"/>
    </row>
    <row r="40" spans="1:44" ht="15.75" thickTop="1" x14ac:dyDescent="0.25"/>
    <row r="43" spans="1:44" ht="15" customHeight="1" x14ac:dyDescent="0.25">
      <c r="A43" s="282" t="s">
        <v>90</v>
      </c>
      <c r="B43" s="282"/>
      <c r="C43" s="270" t="s">
        <v>39</v>
      </c>
      <c r="D43" s="272"/>
      <c r="E43" s="264" t="s">
        <v>40</v>
      </c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65"/>
      <c r="Q43" s="264" t="s">
        <v>22</v>
      </c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65"/>
      <c r="AE43" s="264" t="s">
        <v>23</v>
      </c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65"/>
    </row>
    <row r="44" spans="1:44" x14ac:dyDescent="0.25">
      <c r="A44" s="282"/>
      <c r="B44" s="282"/>
      <c r="C44" s="270"/>
      <c r="D44" s="272"/>
      <c r="E44" s="264" t="s">
        <v>49</v>
      </c>
      <c r="F44" s="255"/>
      <c r="G44" s="255"/>
      <c r="H44" s="255"/>
      <c r="I44" s="255"/>
      <c r="J44" s="265"/>
      <c r="K44" s="264" t="s">
        <v>30</v>
      </c>
      <c r="L44" s="255"/>
      <c r="M44" s="255"/>
      <c r="N44" s="255"/>
      <c r="O44" s="255"/>
      <c r="P44" s="265"/>
      <c r="Q44" s="270" t="s">
        <v>39</v>
      </c>
      <c r="R44" s="271"/>
      <c r="S44" s="264" t="s">
        <v>49</v>
      </c>
      <c r="T44" s="255"/>
      <c r="U44" s="255"/>
      <c r="V44" s="255"/>
      <c r="W44" s="255"/>
      <c r="X44" s="265"/>
      <c r="Y44" s="91" t="s">
        <v>30</v>
      </c>
      <c r="Z44" s="41"/>
      <c r="AA44" s="41"/>
      <c r="AB44" s="41"/>
      <c r="AC44" s="41"/>
      <c r="AD44" s="92"/>
      <c r="AE44" s="270" t="s">
        <v>39</v>
      </c>
      <c r="AF44" s="271"/>
      <c r="AG44" s="91" t="s">
        <v>29</v>
      </c>
      <c r="AH44" s="41"/>
      <c r="AI44" s="41"/>
      <c r="AJ44" s="41"/>
      <c r="AK44" s="41"/>
      <c r="AL44" s="92"/>
      <c r="AM44" s="91" t="s">
        <v>30</v>
      </c>
      <c r="AN44" s="41"/>
      <c r="AO44" s="41"/>
      <c r="AP44" s="41"/>
      <c r="AQ44" s="41"/>
      <c r="AR44" s="92"/>
    </row>
    <row r="45" spans="1:44" x14ac:dyDescent="0.25">
      <c r="A45" s="282"/>
      <c r="B45" s="282"/>
      <c r="C45" s="270"/>
      <c r="D45" s="272"/>
      <c r="E45" s="264" t="s">
        <v>26</v>
      </c>
      <c r="F45" s="265"/>
      <c r="G45" s="264" t="s">
        <v>27</v>
      </c>
      <c r="H45" s="265"/>
      <c r="I45" s="264" t="s">
        <v>28</v>
      </c>
      <c r="J45" s="265"/>
      <c r="K45" s="264" t="s">
        <v>26</v>
      </c>
      <c r="L45" s="265"/>
      <c r="M45" s="264" t="s">
        <v>27</v>
      </c>
      <c r="N45" s="265"/>
      <c r="O45" s="264" t="s">
        <v>28</v>
      </c>
      <c r="P45" s="265"/>
      <c r="Q45" s="270"/>
      <c r="R45" s="271"/>
      <c r="S45" s="264" t="s">
        <v>26</v>
      </c>
      <c r="T45" s="265"/>
      <c r="U45" s="264" t="s">
        <v>27</v>
      </c>
      <c r="V45" s="265"/>
      <c r="W45" s="264" t="s">
        <v>28</v>
      </c>
      <c r="X45" s="265"/>
      <c r="Y45" s="264" t="s">
        <v>26</v>
      </c>
      <c r="Z45" s="265"/>
      <c r="AA45" s="264" t="s">
        <v>27</v>
      </c>
      <c r="AB45" s="265"/>
      <c r="AC45" s="264" t="s">
        <v>28</v>
      </c>
      <c r="AD45" s="265"/>
      <c r="AE45" s="270"/>
      <c r="AF45" s="271"/>
      <c r="AG45" s="264" t="s">
        <v>26</v>
      </c>
      <c r="AH45" s="265"/>
      <c r="AI45" s="264" t="s">
        <v>27</v>
      </c>
      <c r="AJ45" s="265"/>
      <c r="AK45" s="264" t="s">
        <v>28</v>
      </c>
      <c r="AL45" s="265"/>
      <c r="AM45" s="264" t="s">
        <v>26</v>
      </c>
      <c r="AN45" s="265"/>
      <c r="AO45" s="264" t="s">
        <v>27</v>
      </c>
      <c r="AP45" s="265"/>
      <c r="AQ45" s="264" t="s">
        <v>28</v>
      </c>
      <c r="AR45" s="265"/>
    </row>
    <row r="46" spans="1:44" x14ac:dyDescent="0.25">
      <c r="A46" s="6" t="s">
        <v>7</v>
      </c>
      <c r="B46" s="6" t="s">
        <v>8</v>
      </c>
      <c r="C46" s="8" t="s">
        <v>24</v>
      </c>
      <c r="D46" s="6" t="s">
        <v>25</v>
      </c>
      <c r="E46" s="8" t="s">
        <v>24</v>
      </c>
      <c r="F46" s="6" t="s">
        <v>25</v>
      </c>
      <c r="G46" s="8" t="s">
        <v>24</v>
      </c>
      <c r="H46" s="6" t="s">
        <v>25</v>
      </c>
      <c r="I46" s="8" t="s">
        <v>24</v>
      </c>
      <c r="J46" s="6" t="s">
        <v>25</v>
      </c>
      <c r="K46" s="8" t="s">
        <v>24</v>
      </c>
      <c r="L46" s="6" t="s">
        <v>25</v>
      </c>
      <c r="M46" s="8" t="s">
        <v>24</v>
      </c>
      <c r="N46" s="6" t="s">
        <v>25</v>
      </c>
      <c r="O46" s="8" t="s">
        <v>24</v>
      </c>
      <c r="P46" s="6" t="s">
        <v>25</v>
      </c>
      <c r="Q46" s="8" t="s">
        <v>24</v>
      </c>
      <c r="R46" s="53" t="s">
        <v>25</v>
      </c>
      <c r="S46" s="8" t="s">
        <v>24</v>
      </c>
      <c r="T46" s="6" t="s">
        <v>25</v>
      </c>
      <c r="U46" s="8" t="s">
        <v>24</v>
      </c>
      <c r="V46" s="6" t="s">
        <v>25</v>
      </c>
      <c r="W46" s="8" t="s">
        <v>24</v>
      </c>
      <c r="X46" s="6" t="s">
        <v>25</v>
      </c>
      <c r="Y46" s="8" t="s">
        <v>24</v>
      </c>
      <c r="Z46" s="6" t="s">
        <v>25</v>
      </c>
      <c r="AA46" s="8" t="s">
        <v>24</v>
      </c>
      <c r="AB46" s="6" t="s">
        <v>25</v>
      </c>
      <c r="AC46" s="8" t="s">
        <v>24</v>
      </c>
      <c r="AD46" s="6" t="s">
        <v>25</v>
      </c>
      <c r="AE46" s="8" t="s">
        <v>24</v>
      </c>
      <c r="AF46" s="53" t="s">
        <v>25</v>
      </c>
      <c r="AG46" s="8" t="s">
        <v>24</v>
      </c>
      <c r="AH46" s="6" t="s">
        <v>25</v>
      </c>
      <c r="AI46" s="8" t="s">
        <v>24</v>
      </c>
      <c r="AJ46" s="6" t="s">
        <v>25</v>
      </c>
      <c r="AK46" s="8" t="s">
        <v>24</v>
      </c>
      <c r="AL46" s="6" t="s">
        <v>25</v>
      </c>
      <c r="AM46" s="8" t="s">
        <v>24</v>
      </c>
      <c r="AN46" s="6" t="s">
        <v>25</v>
      </c>
      <c r="AO46" s="8" t="s">
        <v>24</v>
      </c>
      <c r="AP46" s="6" t="s">
        <v>25</v>
      </c>
      <c r="AQ46" s="8" t="s">
        <v>24</v>
      </c>
      <c r="AR46" s="53" t="s">
        <v>25</v>
      </c>
    </row>
    <row r="47" spans="1:44" x14ac:dyDescent="0.25">
      <c r="A47" s="260">
        <v>2012</v>
      </c>
      <c r="B47" s="12" t="s">
        <v>0</v>
      </c>
      <c r="C47" s="2"/>
      <c r="D47" s="115"/>
      <c r="E47" s="2"/>
      <c r="F47" s="115"/>
      <c r="G47" s="71"/>
      <c r="H47" s="115"/>
      <c r="I47" s="37"/>
      <c r="J47" s="37"/>
      <c r="K47" s="54"/>
      <c r="L47" s="49"/>
      <c r="M47" s="68"/>
      <c r="N47" s="69"/>
      <c r="O47" s="49"/>
      <c r="P47" s="49"/>
      <c r="Q47" s="2"/>
      <c r="R47" s="102"/>
      <c r="S47" s="115"/>
      <c r="T47" s="115"/>
      <c r="U47" s="37"/>
      <c r="V47" s="37"/>
      <c r="W47" s="37"/>
      <c r="X47" s="37"/>
      <c r="Y47" s="54"/>
      <c r="Z47" s="49"/>
      <c r="AA47" s="68"/>
      <c r="AB47" s="49"/>
      <c r="AC47" s="49"/>
      <c r="AD47" s="49"/>
      <c r="AE47" s="2"/>
      <c r="AF47" s="102"/>
      <c r="AG47" s="90"/>
      <c r="AH47" s="5"/>
      <c r="AI47" s="71"/>
      <c r="AJ47" s="71"/>
      <c r="AK47" s="71"/>
      <c r="AL47" s="71"/>
      <c r="AM47" s="73"/>
      <c r="AN47" s="49"/>
      <c r="AO47" s="49"/>
      <c r="AP47" s="49"/>
      <c r="AQ47" s="49"/>
      <c r="AR47" s="209"/>
    </row>
    <row r="48" spans="1:44" x14ac:dyDescent="0.25">
      <c r="A48" s="261"/>
      <c r="B48" s="5" t="s">
        <v>1</v>
      </c>
      <c r="C48" s="2"/>
      <c r="D48" s="115"/>
      <c r="E48" s="2"/>
      <c r="F48" s="115"/>
      <c r="G48" s="71"/>
      <c r="H48" s="115"/>
      <c r="I48" s="37"/>
      <c r="J48" s="37"/>
      <c r="K48" s="54"/>
      <c r="L48" s="49"/>
      <c r="M48" s="68"/>
      <c r="N48" s="69"/>
      <c r="O48" s="49"/>
      <c r="P48" s="49"/>
      <c r="Q48" s="2"/>
      <c r="R48" s="102"/>
      <c r="S48" s="115"/>
      <c r="T48" s="115"/>
      <c r="U48" s="37"/>
      <c r="V48" s="37"/>
      <c r="W48" s="37"/>
      <c r="X48" s="37"/>
      <c r="Y48" s="54"/>
      <c r="Z48" s="49"/>
      <c r="AA48" s="68"/>
      <c r="AB48" s="49"/>
      <c r="AC48" s="49"/>
      <c r="AD48" s="49"/>
      <c r="AE48" s="2"/>
      <c r="AF48" s="102"/>
      <c r="AG48" s="2"/>
      <c r="AH48" s="5"/>
      <c r="AI48" s="71"/>
      <c r="AJ48" s="71"/>
      <c r="AK48" s="71"/>
      <c r="AL48" s="71"/>
      <c r="AM48" s="54"/>
      <c r="AN48" s="49"/>
      <c r="AO48" s="49"/>
      <c r="AP48" s="49"/>
      <c r="AQ48" s="49"/>
      <c r="AR48" s="59"/>
    </row>
    <row r="49" spans="1:44" x14ac:dyDescent="0.25">
      <c r="A49" s="261"/>
      <c r="B49" s="5" t="s">
        <v>2</v>
      </c>
      <c r="C49" s="2"/>
      <c r="D49" s="115"/>
      <c r="E49" s="2"/>
      <c r="F49" s="115"/>
      <c r="G49" s="71"/>
      <c r="H49" s="115"/>
      <c r="I49" s="37"/>
      <c r="J49" s="37"/>
      <c r="K49" s="54"/>
      <c r="L49" s="49"/>
      <c r="M49" s="68"/>
      <c r="N49" s="69"/>
      <c r="O49" s="49"/>
      <c r="P49" s="49"/>
      <c r="Q49" s="2"/>
      <c r="R49" s="102"/>
      <c r="S49" s="115"/>
      <c r="T49" s="115"/>
      <c r="U49" s="37"/>
      <c r="V49" s="37"/>
      <c r="W49" s="37"/>
      <c r="X49" s="37"/>
      <c r="Y49" s="54"/>
      <c r="Z49" s="49"/>
      <c r="AA49" s="68"/>
      <c r="AB49" s="49"/>
      <c r="AC49" s="49"/>
      <c r="AD49" s="49"/>
      <c r="AE49" s="2"/>
      <c r="AF49" s="102"/>
      <c r="AG49" s="2"/>
      <c r="AH49" s="5"/>
      <c r="AI49" s="71"/>
      <c r="AJ49" s="71"/>
      <c r="AK49" s="71"/>
      <c r="AL49" s="71"/>
      <c r="AM49" s="54"/>
      <c r="AN49" s="49"/>
      <c r="AO49" s="49"/>
      <c r="AP49" s="49"/>
      <c r="AQ49" s="49"/>
      <c r="AR49" s="59"/>
    </row>
    <row r="50" spans="1:44" x14ac:dyDescent="0.25">
      <c r="A50" s="261"/>
      <c r="B50" s="5" t="s">
        <v>3</v>
      </c>
      <c r="C50" s="2">
        <v>42</v>
      </c>
      <c r="D50" s="115"/>
      <c r="E50" s="2">
        <v>165</v>
      </c>
      <c r="F50" s="115"/>
      <c r="G50" s="71">
        <f>IF(C50,E50/C50,"")</f>
        <v>3.9285714285714284</v>
      </c>
      <c r="H50" s="115"/>
      <c r="I50" s="37">
        <v>2.4476806659169101</v>
      </c>
      <c r="J50" s="37"/>
      <c r="K50" s="54">
        <f>E50*External_Sources!$D$26</f>
        <v>6730.3059999999996</v>
      </c>
      <c r="L50" s="49"/>
      <c r="M50" s="68">
        <f>K50/C50</f>
        <v>160.24538095238094</v>
      </c>
      <c r="N50" s="69"/>
      <c r="O50" s="49">
        <f>I50*External_Sources!$D26</f>
        <v>99.84024164790651</v>
      </c>
      <c r="P50" s="49"/>
      <c r="Q50" s="2">
        <v>2</v>
      </c>
      <c r="R50" s="102">
        <v>1</v>
      </c>
      <c r="S50" s="115">
        <v>14</v>
      </c>
      <c r="T50" s="115">
        <v>1</v>
      </c>
      <c r="U50" s="37"/>
      <c r="V50" s="37"/>
      <c r="W50" s="37">
        <v>1.4142135623731</v>
      </c>
      <c r="X50" s="37"/>
      <c r="Y50" s="54"/>
      <c r="Z50" s="49"/>
      <c r="AA50" s="68"/>
      <c r="AB50" s="49"/>
      <c r="AC50" s="49"/>
      <c r="AD50" s="49"/>
      <c r="AE50" s="2">
        <v>0</v>
      </c>
      <c r="AF50" s="102">
        <v>0</v>
      </c>
      <c r="AG50" s="2">
        <v>0</v>
      </c>
      <c r="AH50" s="5">
        <v>0</v>
      </c>
      <c r="AI50" s="71"/>
      <c r="AJ50" s="71"/>
      <c r="AK50" s="71">
        <v>0</v>
      </c>
      <c r="AL50" s="71">
        <v>0</v>
      </c>
      <c r="AM50" s="54"/>
      <c r="AN50" s="49"/>
      <c r="AO50" s="49"/>
      <c r="AP50" s="49"/>
      <c r="AQ50" s="49"/>
      <c r="AR50" s="59"/>
    </row>
    <row r="51" spans="1:44" x14ac:dyDescent="0.25">
      <c r="A51" s="261"/>
      <c r="B51" s="5" t="s">
        <v>4</v>
      </c>
      <c r="C51" s="2">
        <v>2266</v>
      </c>
      <c r="D51" s="115"/>
      <c r="E51" s="2">
        <v>12871</v>
      </c>
      <c r="F51" s="115"/>
      <c r="G51" s="71">
        <f>IF(C51,E51/C51,"")</f>
        <v>5.680052956751986</v>
      </c>
      <c r="H51" s="115"/>
      <c r="I51" s="37">
        <v>9.0863445595785404</v>
      </c>
      <c r="J51" s="37"/>
      <c r="K51" s="54">
        <f>E51*External_Sources!$D$27</f>
        <v>889880.49977847515</v>
      </c>
      <c r="L51" s="49"/>
      <c r="M51" s="68">
        <f>K51/C51</f>
        <v>392.70984103198373</v>
      </c>
      <c r="N51" s="69"/>
      <c r="O51" s="49">
        <f>I51*External_Sources!$D27</f>
        <v>628.21543297623953</v>
      </c>
      <c r="P51" s="49"/>
      <c r="Q51" s="2">
        <v>80</v>
      </c>
      <c r="R51" s="102">
        <v>36</v>
      </c>
      <c r="S51" s="115">
        <v>568</v>
      </c>
      <c r="T51" s="115">
        <v>223</v>
      </c>
      <c r="U51" s="37"/>
      <c r="V51" s="37"/>
      <c r="W51" s="37">
        <v>13.824029711641799</v>
      </c>
      <c r="X51" s="37">
        <v>5.3442596410645304</v>
      </c>
      <c r="Y51" s="54">
        <f>S51*External_Sources!$D$27</f>
        <v>39270.617968625113</v>
      </c>
      <c r="Z51" s="49">
        <f>T51*External_Sources!$D$27</f>
        <v>15417.865857400353</v>
      </c>
      <c r="AA51" s="68">
        <f t="shared" ref="AA51:AB54" si="46">Y51/Q51</f>
        <v>490.88272460781388</v>
      </c>
      <c r="AB51" s="49">
        <f t="shared" si="46"/>
        <v>428.27405159445425</v>
      </c>
      <c r="AC51" s="49">
        <f>W51*External_Sources!$D$27</f>
        <v>955.77146055071819</v>
      </c>
      <c r="AD51" s="49">
        <f>X51*External_Sources!$D$27</f>
        <v>369.49362445314569</v>
      </c>
      <c r="AE51" s="2">
        <v>121</v>
      </c>
      <c r="AF51" s="102">
        <v>13</v>
      </c>
      <c r="AG51" s="2">
        <v>769</v>
      </c>
      <c r="AH51" s="5">
        <v>578</v>
      </c>
      <c r="AI51" s="71"/>
      <c r="AJ51" s="71"/>
      <c r="AK51" s="71">
        <v>6.0784585547821104</v>
      </c>
      <c r="AL51" s="71">
        <v>98.000523284840497</v>
      </c>
      <c r="AM51" s="54">
        <f>AG51*External_Sources!$D$27</f>
        <v>53167.438763860409</v>
      </c>
      <c r="AN51" s="49">
        <f>AH51*External_Sources!$D$27</f>
        <v>39962.00208779105</v>
      </c>
      <c r="AO51" s="49">
        <f t="shared" ref="AO51:AP54" si="47">AM51/AE51</f>
        <v>439.40032036248272</v>
      </c>
      <c r="AP51" s="49">
        <f t="shared" si="47"/>
        <v>3074.0001605993116</v>
      </c>
      <c r="AQ51" s="51">
        <f>AK51*External_Sources!$D$27</f>
        <v>420.25497137846725</v>
      </c>
      <c r="AR51" s="59">
        <f>AL51*External_Sources!$D$27</f>
        <v>6775.600546909016</v>
      </c>
    </row>
    <row r="52" spans="1:44" x14ac:dyDescent="0.25">
      <c r="A52" s="261"/>
      <c r="B52" s="5" t="s">
        <v>5</v>
      </c>
      <c r="C52" s="2">
        <v>4360</v>
      </c>
      <c r="D52" s="115"/>
      <c r="E52" s="2">
        <v>30895</v>
      </c>
      <c r="F52" s="115"/>
      <c r="G52" s="71">
        <f>IF(C52,E52/C52,"")</f>
        <v>7.0860091743119265</v>
      </c>
      <c r="H52" s="115"/>
      <c r="I52" s="37">
        <v>11.775977583339699</v>
      </c>
      <c r="J52" s="37"/>
      <c r="K52" s="54">
        <f>E52*External_Sources!$D$28</f>
        <v>3065624.8980821841</v>
      </c>
      <c r="L52" s="49"/>
      <c r="M52" s="68">
        <f>K52/C52</f>
        <v>703.12497662435419</v>
      </c>
      <c r="N52" s="69"/>
      <c r="O52" s="49">
        <f>I52*External_Sources!$D28</f>
        <v>1168.4974940522368</v>
      </c>
      <c r="P52" s="49"/>
      <c r="Q52" s="2">
        <v>112</v>
      </c>
      <c r="R52" s="102">
        <v>34</v>
      </c>
      <c r="S52" s="115">
        <v>906</v>
      </c>
      <c r="T52" s="115">
        <v>353</v>
      </c>
      <c r="U52" s="37"/>
      <c r="V52" s="37"/>
      <c r="W52" s="37">
        <v>11.624417894118</v>
      </c>
      <c r="X52" s="37">
        <v>13.364391189712199</v>
      </c>
      <c r="Y52" s="54">
        <f>S52*External_Sources!$D$28</f>
        <v>89899.859448534029</v>
      </c>
      <c r="Z52" s="49">
        <f>T52*External_Sources!$D$28</f>
        <v>35027.207930830591</v>
      </c>
      <c r="AA52" s="68">
        <f t="shared" si="46"/>
        <v>802.6773165047681</v>
      </c>
      <c r="AB52" s="49">
        <f t="shared" si="46"/>
        <v>1030.2119979656056</v>
      </c>
      <c r="AC52" s="49">
        <f>W52*External_Sources!$D$28</f>
        <v>1153.4586477397706</v>
      </c>
      <c r="AD52" s="49">
        <f>X52*External_Sources!$D$28</f>
        <v>1326.1113571416702</v>
      </c>
      <c r="AE52" s="2">
        <v>307</v>
      </c>
      <c r="AF52" s="102">
        <v>41</v>
      </c>
      <c r="AG52" s="2">
        <v>3482</v>
      </c>
      <c r="AH52" s="5">
        <v>920</v>
      </c>
      <c r="AI52" s="71"/>
      <c r="AJ52" s="71"/>
      <c r="AK52" s="71">
        <v>25.130839837554099</v>
      </c>
      <c r="AL52" s="71">
        <v>43.039545060611303</v>
      </c>
      <c r="AM52" s="54">
        <f>AG52*External_Sources!$D$28</f>
        <v>345509.17284745642</v>
      </c>
      <c r="AN52" s="49">
        <f>AH52*External_Sources!$D$28</f>
        <v>91289.040499615134</v>
      </c>
      <c r="AO52" s="49">
        <f t="shared" si="47"/>
        <v>1125.4370451057212</v>
      </c>
      <c r="AP52" s="49">
        <f t="shared" si="47"/>
        <v>2226.5619634052473</v>
      </c>
      <c r="AQ52" s="51">
        <f>AK52*External_Sources!$D$28</f>
        <v>2493.6633214345843</v>
      </c>
      <c r="AR52" s="59">
        <f>AL52*External_Sources!$D$28</f>
        <v>4270.694317525169</v>
      </c>
    </row>
    <row r="53" spans="1:44" x14ac:dyDescent="0.25">
      <c r="A53" s="261"/>
      <c r="B53" s="6" t="s">
        <v>6</v>
      </c>
      <c r="C53" s="8">
        <v>293</v>
      </c>
      <c r="D53" s="6"/>
      <c r="E53" s="8">
        <v>2370</v>
      </c>
      <c r="F53" s="6"/>
      <c r="G53" s="39">
        <f>IF(C53,E53/C53,"")</f>
        <v>8.0887372013651877</v>
      </c>
      <c r="H53" s="6"/>
      <c r="I53" s="39">
        <v>8.3178359665662995</v>
      </c>
      <c r="J53" s="39"/>
      <c r="K53" s="55">
        <f>E53*External_Sources!$D$29</f>
        <v>174396.93798381087</v>
      </c>
      <c r="L53" s="50"/>
      <c r="M53" s="68">
        <f>K53/C53</f>
        <v>595.21139243621462</v>
      </c>
      <c r="N53" s="75"/>
      <c r="O53" s="49">
        <f>I53*External_Sources!$D29</f>
        <v>612.06967224505263</v>
      </c>
      <c r="P53" s="50"/>
      <c r="Q53" s="8">
        <v>4</v>
      </c>
      <c r="R53" s="102">
        <v>1</v>
      </c>
      <c r="S53" s="8">
        <v>57</v>
      </c>
      <c r="T53" s="6">
        <v>3</v>
      </c>
      <c r="U53" s="39"/>
      <c r="V53" s="37"/>
      <c r="W53" s="39">
        <v>8.6554414483991895</v>
      </c>
      <c r="X53" s="39"/>
      <c r="Y53" s="55">
        <f>S53*External_Sources!$D$29</f>
        <v>4194.3567363195025</v>
      </c>
      <c r="Z53" s="50">
        <f>T53*External_Sources!$D$29</f>
        <v>220.75561770102644</v>
      </c>
      <c r="AA53" s="68">
        <f t="shared" si="46"/>
        <v>1048.5891840798756</v>
      </c>
      <c r="AB53" s="49">
        <f t="shared" si="46"/>
        <v>220.75561770102644</v>
      </c>
      <c r="AC53" s="50">
        <f>W53*External_Sources!$D$29</f>
        <v>636.91244113880998</v>
      </c>
      <c r="AD53" s="50">
        <f>X53*External_Sources!$D$29</f>
        <v>0</v>
      </c>
      <c r="AE53" s="8">
        <v>20</v>
      </c>
      <c r="AF53" s="102">
        <v>7</v>
      </c>
      <c r="AG53" s="8">
        <v>190</v>
      </c>
      <c r="AH53" s="6">
        <v>448</v>
      </c>
      <c r="AI53" s="71"/>
      <c r="AJ53" s="71"/>
      <c r="AK53" s="39">
        <v>6.5252545826520096</v>
      </c>
      <c r="AL53" s="39">
        <v>102.94820704283001</v>
      </c>
      <c r="AM53" s="55">
        <f>AG53*External_Sources!$D$29</f>
        <v>13981.189121065008</v>
      </c>
      <c r="AN53" s="50">
        <f>AH53*External_Sources!$D$29</f>
        <v>32966.172243353285</v>
      </c>
      <c r="AO53" s="50">
        <f t="shared" si="47"/>
        <v>699.05945605325041</v>
      </c>
      <c r="AP53" s="49">
        <f t="shared" si="47"/>
        <v>4709.4531776218982</v>
      </c>
      <c r="AQ53" s="50">
        <f>AK53*External_Sources!$D$29</f>
        <v>480.16220201659928</v>
      </c>
      <c r="AR53" s="60">
        <f>AL53*External_Sources!$D$29</f>
        <v>7575.4650123176998</v>
      </c>
    </row>
    <row r="54" spans="1:44" ht="15.75" thickBot="1" x14ac:dyDescent="0.3">
      <c r="A54" s="262"/>
      <c r="B54" s="15" t="s">
        <v>14</v>
      </c>
      <c r="C54" s="66">
        <f>SUM(C47:C53)</f>
        <v>6961</v>
      </c>
      <c r="D54" s="99"/>
      <c r="E54" s="31">
        <f>SUM(E47:E53)</f>
        <v>46301</v>
      </c>
      <c r="F54" s="17"/>
      <c r="G54" s="70">
        <f>IF(C54,E54/C54,"")</f>
        <v>6.6514868553368771</v>
      </c>
      <c r="H54" s="67"/>
      <c r="I54" s="40">
        <f>SQRT(((C51-1)*I51^2+(C52-1)*I52^2+(C53-1)*I53^2)/(C51+C52+C53-3))</f>
        <v>10.833423884862414</v>
      </c>
      <c r="J54" s="40"/>
      <c r="K54" s="74">
        <f>SUM(K47:K53)</f>
        <v>4136632.6418444701</v>
      </c>
      <c r="L54" s="57"/>
      <c r="M54" s="77">
        <f>K54/C54</f>
        <v>594.25838842759231</v>
      </c>
      <c r="N54" s="77"/>
      <c r="O54" s="40">
        <f>SQRT(((C51-1)*O51^2+(C52-1)*O52^2+(C53-1)*O53^2)/(C51+C52+C53-3))</f>
        <v>1002.8158574828018</v>
      </c>
      <c r="P54" s="206"/>
      <c r="Q54" s="66">
        <f>SUM(Q47:Q53)</f>
        <v>198</v>
      </c>
      <c r="R54" s="104">
        <f>SUM(R47:R53)</f>
        <v>72</v>
      </c>
      <c r="S54" s="35">
        <f>SUM(S50:S53)</f>
        <v>1545</v>
      </c>
      <c r="T54" s="15">
        <f>SUM(T50:T53)</f>
        <v>580</v>
      </c>
      <c r="U54" s="40"/>
      <c r="V54" s="40"/>
      <c r="W54" s="40">
        <f t="array" ref="W54">SQRT(AVERAGE(W50:W53^2))</f>
        <v>10.03926734767175</v>
      </c>
      <c r="X54" s="40">
        <f t="array" ref="X54">SQRT(AVERAGE(X51:X52^2))</f>
        <v>10.17762405924802</v>
      </c>
      <c r="Y54" s="74">
        <f>SUM(Y47:Y53)</f>
        <v>133364.83415347865</v>
      </c>
      <c r="Z54" s="57">
        <f>SUM(Z47:Z53)</f>
        <v>50665.829405931974</v>
      </c>
      <c r="AA54" s="77">
        <f t="shared" si="46"/>
        <v>673.5597684519123</v>
      </c>
      <c r="AB54" s="57">
        <f t="shared" si="46"/>
        <v>703.69207508238856</v>
      </c>
      <c r="AC54" s="57"/>
      <c r="AD54" s="57"/>
      <c r="AE54" s="66">
        <f>SUM(AE47:AE53)</f>
        <v>448</v>
      </c>
      <c r="AF54" s="104">
        <f>SUM(AF47:AF53)</f>
        <v>61</v>
      </c>
      <c r="AG54" s="35">
        <f>SUM(AG50:AG53)</f>
        <v>4441</v>
      </c>
      <c r="AH54" s="15">
        <f>SUM(AH50:AH53)</f>
        <v>1946</v>
      </c>
      <c r="AI54" s="40"/>
      <c r="AJ54" s="40"/>
      <c r="AK54" s="40">
        <f t="array" ref="AK54">SQRT(AVERAGE(AK50:AK53^2))</f>
        <v>13.333095258710756</v>
      </c>
      <c r="AL54" s="40">
        <f t="array" ref="AL54">SQRT(AVERAGE(AL50:AL53^2))</f>
        <v>74.254357340933794</v>
      </c>
      <c r="AM54" s="74">
        <f>SUM(AM47:AM53)</f>
        <v>412657.80073238182</v>
      </c>
      <c r="AN54" s="57">
        <f>SUM(AN47:AN53)</f>
        <v>164217.21483075945</v>
      </c>
      <c r="AO54" s="57">
        <f t="shared" si="47"/>
        <v>921.1111623490666</v>
      </c>
      <c r="AP54" s="57">
        <f t="shared" si="47"/>
        <v>2692.0854890288433</v>
      </c>
      <c r="AQ54" s="57"/>
      <c r="AR54" s="206"/>
    </row>
    <row r="55" spans="1:44" ht="15.75" thickTop="1" x14ac:dyDescent="0.25">
      <c r="A55" s="263">
        <v>2013</v>
      </c>
      <c r="B55" s="5" t="s">
        <v>0</v>
      </c>
      <c r="C55" s="2"/>
      <c r="D55" s="115"/>
      <c r="E55" s="2"/>
      <c r="F55" s="115"/>
      <c r="G55" s="71"/>
      <c r="H55" s="115"/>
      <c r="I55" s="37"/>
      <c r="J55" s="37"/>
      <c r="K55" s="54"/>
      <c r="L55" s="49"/>
      <c r="M55" s="68"/>
      <c r="N55" s="69"/>
      <c r="O55" s="49"/>
      <c r="P55" s="49"/>
      <c r="Q55" s="2"/>
      <c r="R55" s="102"/>
      <c r="S55" s="115"/>
      <c r="T55" s="115"/>
      <c r="U55" s="37"/>
      <c r="V55" s="37"/>
      <c r="W55" s="37"/>
      <c r="X55" s="37"/>
      <c r="Y55" s="54"/>
      <c r="Z55" s="49"/>
      <c r="AA55" s="68"/>
      <c r="AB55" s="49"/>
      <c r="AC55" s="49"/>
      <c r="AD55" s="49"/>
      <c r="AE55" s="2"/>
      <c r="AF55" s="102"/>
      <c r="AG55" s="2"/>
      <c r="AH55" s="5"/>
      <c r="AI55" s="71"/>
      <c r="AJ55" s="71"/>
      <c r="AK55" s="71"/>
      <c r="AL55" s="71"/>
      <c r="AM55" s="205"/>
      <c r="AN55" s="49"/>
      <c r="AO55" s="49"/>
      <c r="AP55" s="49"/>
      <c r="AQ55" s="51"/>
      <c r="AR55" s="59"/>
    </row>
    <row r="56" spans="1:44" x14ac:dyDescent="0.25">
      <c r="A56" s="261"/>
      <c r="B56" s="5" t="s">
        <v>1</v>
      </c>
      <c r="C56" s="2"/>
      <c r="D56" s="115"/>
      <c r="E56" s="2"/>
      <c r="F56" s="115"/>
      <c r="G56" s="71"/>
      <c r="H56" s="115"/>
      <c r="I56" s="37"/>
      <c r="J56" s="37"/>
      <c r="K56" s="54"/>
      <c r="L56" s="49"/>
      <c r="M56" s="68"/>
      <c r="N56" s="69"/>
      <c r="O56" s="49"/>
      <c r="P56" s="49"/>
      <c r="Q56" s="2"/>
      <c r="R56" s="102"/>
      <c r="S56" s="115"/>
      <c r="T56" s="115"/>
      <c r="U56" s="37"/>
      <c r="V56" s="37"/>
      <c r="W56" s="37"/>
      <c r="X56" s="37"/>
      <c r="Y56" s="54"/>
      <c r="Z56" s="49"/>
      <c r="AA56" s="68"/>
      <c r="AB56" s="49"/>
      <c r="AC56" s="49"/>
      <c r="AD56" s="49"/>
      <c r="AE56" s="2"/>
      <c r="AF56" s="102"/>
      <c r="AG56" s="2"/>
      <c r="AH56" s="5"/>
      <c r="AI56" s="71"/>
      <c r="AJ56" s="71"/>
      <c r="AK56" s="71"/>
      <c r="AL56" s="71"/>
      <c r="AM56" s="54"/>
      <c r="AN56" s="49"/>
      <c r="AO56" s="49"/>
      <c r="AP56" s="49"/>
      <c r="AQ56" s="51"/>
      <c r="AR56" s="59"/>
    </row>
    <row r="57" spans="1:44" x14ac:dyDescent="0.25">
      <c r="A57" s="261"/>
      <c r="B57" s="5" t="s">
        <v>2</v>
      </c>
      <c r="C57" s="2"/>
      <c r="D57" s="115"/>
      <c r="E57" s="2"/>
      <c r="F57" s="115"/>
      <c r="G57" s="71"/>
      <c r="H57" s="115"/>
      <c r="I57" s="37"/>
      <c r="J57" s="37"/>
      <c r="K57" s="54"/>
      <c r="L57" s="49"/>
      <c r="M57" s="68"/>
      <c r="N57" s="69"/>
      <c r="O57" s="49"/>
      <c r="P57" s="49"/>
      <c r="Q57" s="2"/>
      <c r="R57" s="102"/>
      <c r="S57" s="115"/>
      <c r="T57" s="115"/>
      <c r="U57" s="37"/>
      <c r="V57" s="37"/>
      <c r="W57" s="37"/>
      <c r="X57" s="37"/>
      <c r="Y57" s="54"/>
      <c r="Z57" s="49"/>
      <c r="AA57" s="68"/>
      <c r="AB57" s="49"/>
      <c r="AC57" s="49"/>
      <c r="AD57" s="49"/>
      <c r="AE57" s="2"/>
      <c r="AF57" s="102"/>
      <c r="AG57" s="2"/>
      <c r="AH57" s="5"/>
      <c r="AI57" s="71"/>
      <c r="AJ57" s="71"/>
      <c r="AK57" s="71"/>
      <c r="AL57" s="71"/>
      <c r="AM57" s="54"/>
      <c r="AN57" s="49"/>
      <c r="AO57" s="49"/>
      <c r="AP57" s="49"/>
      <c r="AQ57" s="51"/>
      <c r="AR57" s="59"/>
    </row>
    <row r="58" spans="1:44" x14ac:dyDescent="0.25">
      <c r="A58" s="261"/>
      <c r="B58" s="5" t="s">
        <v>3</v>
      </c>
      <c r="C58" s="2">
        <v>66</v>
      </c>
      <c r="D58" s="115"/>
      <c r="E58" s="2">
        <v>638</v>
      </c>
      <c r="F58" s="115"/>
      <c r="G58" s="71">
        <f>IF(C58,E58/C58,"")</f>
        <v>9.6666666666666661</v>
      </c>
      <c r="H58" s="115"/>
      <c r="I58" s="37">
        <v>44.1461841175351</v>
      </c>
      <c r="J58" s="37"/>
      <c r="K58" s="54">
        <f>E58*External_Sources!$D$34</f>
        <v>23602.01888</v>
      </c>
      <c r="L58" s="49"/>
      <c r="M58" s="68">
        <f>K58/C58</f>
        <v>357.60634666666664</v>
      </c>
      <c r="N58" s="69"/>
      <c r="O58" s="49">
        <f>I58*External_Sources!$D34</f>
        <v>1633.1333401599054</v>
      </c>
      <c r="P58" s="49"/>
      <c r="Q58" s="2">
        <v>1</v>
      </c>
      <c r="R58" s="102">
        <v>3</v>
      </c>
      <c r="S58" s="115">
        <v>6</v>
      </c>
      <c r="T58" s="115">
        <v>6</v>
      </c>
      <c r="U58" s="37"/>
      <c r="V58" s="37"/>
      <c r="W58" s="37"/>
      <c r="X58" s="37">
        <v>1</v>
      </c>
      <c r="Y58" s="54"/>
      <c r="Z58" s="49"/>
      <c r="AA58" s="68"/>
      <c r="AB58" s="49"/>
      <c r="AC58" s="49"/>
      <c r="AD58" s="49"/>
      <c r="AE58" s="2">
        <v>1</v>
      </c>
      <c r="AF58" s="102">
        <v>0</v>
      </c>
      <c r="AG58" s="2">
        <v>3</v>
      </c>
      <c r="AH58" s="5">
        <v>0</v>
      </c>
      <c r="AI58" s="71"/>
      <c r="AJ58" s="71"/>
      <c r="AK58" s="71">
        <v>0</v>
      </c>
      <c r="AL58" s="71">
        <v>0</v>
      </c>
      <c r="AM58" s="54"/>
      <c r="AN58" s="49"/>
      <c r="AO58" s="49"/>
      <c r="AP58" s="49"/>
      <c r="AQ58" s="51"/>
      <c r="AR58" s="59"/>
    </row>
    <row r="59" spans="1:44" x14ac:dyDescent="0.25">
      <c r="A59" s="261"/>
      <c r="B59" s="5" t="s">
        <v>4</v>
      </c>
      <c r="C59" s="2">
        <v>4383</v>
      </c>
      <c r="D59" s="115"/>
      <c r="E59" s="2">
        <v>25883</v>
      </c>
      <c r="F59" s="115"/>
      <c r="G59" s="71">
        <f>IF(C59,E59/C59,"")</f>
        <v>5.9053159936116817</v>
      </c>
      <c r="H59" s="115"/>
      <c r="I59" s="37">
        <v>4.9076386933626903</v>
      </c>
      <c r="J59" s="37"/>
      <c r="K59" s="54">
        <f>E59*External_Sources!$D$35</f>
        <v>1622974.2175122122</v>
      </c>
      <c r="L59" s="49"/>
      <c r="M59" s="68">
        <f>K59/C59</f>
        <v>370.28843657590971</v>
      </c>
      <c r="N59" s="69"/>
      <c r="O59" s="49">
        <f>I59*External_Sources!$D35</f>
        <v>307.72982529818677</v>
      </c>
      <c r="P59" s="49"/>
      <c r="Q59" s="2">
        <v>136</v>
      </c>
      <c r="R59" s="102">
        <v>70</v>
      </c>
      <c r="S59" s="115">
        <v>1217</v>
      </c>
      <c r="T59" s="115">
        <v>514</v>
      </c>
      <c r="U59" s="37"/>
      <c r="V59" s="37"/>
      <c r="W59" s="37">
        <v>31.252453498456799</v>
      </c>
      <c r="X59" s="37">
        <v>9.5384587128622194</v>
      </c>
      <c r="Y59" s="54">
        <f>S59*External_Sources!$D$35</f>
        <v>76311.077646036472</v>
      </c>
      <c r="Z59" s="49">
        <f>T59*External_Sources!$D$35</f>
        <v>32229.986779016228</v>
      </c>
      <c r="AA59" s="68">
        <f t="shared" ref="AA59:AB62" si="48">Y59/Q59</f>
        <v>561.11086504438583</v>
      </c>
      <c r="AB59" s="49">
        <f t="shared" si="48"/>
        <v>460.42838255737468</v>
      </c>
      <c r="AC59" s="49">
        <f>W59*External_Sources!$D$27</f>
        <v>2160.7450033804903</v>
      </c>
      <c r="AD59" s="49">
        <f>X59*External_Sources!$D$27</f>
        <v>659.47388753928851</v>
      </c>
      <c r="AE59" s="2">
        <v>183</v>
      </c>
      <c r="AF59" s="102">
        <v>26</v>
      </c>
      <c r="AG59" s="2">
        <v>1303</v>
      </c>
      <c r="AH59" s="5">
        <v>797</v>
      </c>
      <c r="AI59" s="71"/>
      <c r="AJ59" s="71"/>
      <c r="AK59" s="71">
        <v>7.8647059672921404</v>
      </c>
      <c r="AL59" s="71">
        <v>71.302141514932003</v>
      </c>
      <c r="AM59" s="54">
        <f>AG59*External_Sources!$D$35</f>
        <v>81703.643527350476</v>
      </c>
      <c r="AN59" s="49">
        <f>AH59*External_Sources!$D$35</f>
        <v>49975.290783805322</v>
      </c>
      <c r="AO59" s="49">
        <f t="shared" ref="AO59:AP62" si="49">AM59/AE59</f>
        <v>446.46799741721571</v>
      </c>
      <c r="AP59" s="49">
        <f t="shared" si="49"/>
        <v>1922.1265686078971</v>
      </c>
      <c r="AQ59" s="51">
        <f>AK59*External_Sources!$D$27</f>
        <v>543.75328076953508</v>
      </c>
      <c r="AR59" s="59">
        <f>AL59*External_Sources!$D$27</f>
        <v>4929.7168305946116</v>
      </c>
    </row>
    <row r="60" spans="1:44" x14ac:dyDescent="0.25">
      <c r="A60" s="261"/>
      <c r="B60" s="5" t="s">
        <v>5</v>
      </c>
      <c r="C60" s="2">
        <v>10928</v>
      </c>
      <c r="D60" s="115"/>
      <c r="E60" s="2">
        <v>82120</v>
      </c>
      <c r="F60" s="115"/>
      <c r="G60" s="71">
        <f>IF(C60,E60/C60,"")</f>
        <v>7.5146412884333822</v>
      </c>
      <c r="H60" s="115"/>
      <c r="I60" s="37">
        <v>7.6077005676516096</v>
      </c>
      <c r="J60" s="37"/>
      <c r="K60" s="54">
        <f>E60*External_Sources!$D$36</f>
        <v>7390219.9534591148</v>
      </c>
      <c r="L60" s="49"/>
      <c r="M60" s="68">
        <f>K60/C60</f>
        <v>676.26463702956755</v>
      </c>
      <c r="N60" s="69"/>
      <c r="O60" s="49">
        <f>I60*External_Sources!$D36</f>
        <v>684.63931484414468</v>
      </c>
      <c r="P60" s="49"/>
      <c r="Q60" s="2">
        <v>219</v>
      </c>
      <c r="R60" s="102">
        <v>108</v>
      </c>
      <c r="S60" s="115">
        <v>1795</v>
      </c>
      <c r="T60" s="115">
        <v>2881</v>
      </c>
      <c r="U60" s="37"/>
      <c r="V60" s="37"/>
      <c r="W60" s="37">
        <v>6.2949510413474501</v>
      </c>
      <c r="X60" s="37">
        <v>90.943736196289294</v>
      </c>
      <c r="Y60" s="54">
        <f>S60*External_Sources!$D$36</f>
        <v>161537.32119409536</v>
      </c>
      <c r="Z60" s="49">
        <f>T60*External_Sources!$D$36</f>
        <v>259269.650339938</v>
      </c>
      <c r="AA60" s="68">
        <f t="shared" si="48"/>
        <v>737.61333878582354</v>
      </c>
      <c r="AB60" s="49">
        <f t="shared" si="48"/>
        <v>2400.6449105549814</v>
      </c>
      <c r="AC60" s="49">
        <f>W60*External_Sources!$D$28</f>
        <v>624.63047886593677</v>
      </c>
      <c r="AD60" s="49">
        <f>X60*External_Sources!$D$28</f>
        <v>9024.09393131453</v>
      </c>
      <c r="AE60" s="2">
        <v>609</v>
      </c>
      <c r="AF60" s="102">
        <v>112</v>
      </c>
      <c r="AG60" s="2">
        <v>7129</v>
      </c>
      <c r="AH60" s="5">
        <v>5472</v>
      </c>
      <c r="AI60" s="71"/>
      <c r="AJ60" s="71"/>
      <c r="AK60" s="71">
        <v>21.325654318358598</v>
      </c>
      <c r="AL60" s="71">
        <v>133.19334027820599</v>
      </c>
      <c r="AM60" s="54">
        <f>AG60*External_Sources!$D$36</f>
        <v>641559.64500986401</v>
      </c>
      <c r="AN60" s="49">
        <f>AH60*External_Sources!$D$36</f>
        <v>492441.34906634531</v>
      </c>
      <c r="AO60" s="49">
        <f t="shared" si="49"/>
        <v>1053.4641133166897</v>
      </c>
      <c r="AP60" s="49">
        <f t="shared" si="49"/>
        <v>4396.7977595209404</v>
      </c>
      <c r="AQ60" s="51">
        <f>AK60*External_Sources!$D$28</f>
        <v>2116.0853486406854</v>
      </c>
      <c r="AR60" s="59">
        <f>AL60*External_Sources!$D$28</f>
        <v>13216.404603191486</v>
      </c>
    </row>
    <row r="61" spans="1:44" x14ac:dyDescent="0.25">
      <c r="A61" s="261"/>
      <c r="B61" s="6" t="s">
        <v>6</v>
      </c>
      <c r="C61" s="8">
        <v>739</v>
      </c>
      <c r="D61" s="53"/>
      <c r="E61" s="8">
        <v>6380</v>
      </c>
      <c r="F61" s="6"/>
      <c r="G61" s="39">
        <f>IF(C61,E61/C61,"")</f>
        <v>8.6332882273342353</v>
      </c>
      <c r="H61" s="6"/>
      <c r="I61" s="39">
        <v>10.014194179626999</v>
      </c>
      <c r="J61" s="39"/>
      <c r="K61" s="55">
        <f>E61*External_Sources!$D$37</f>
        <v>425783.46976573265</v>
      </c>
      <c r="L61" s="50"/>
      <c r="M61" s="68">
        <f>K61/C61</f>
        <v>576.16166409436084</v>
      </c>
      <c r="N61" s="75"/>
      <c r="O61" s="49">
        <f>I61*External_Sources!$D37</f>
        <v>668.31948976636181</v>
      </c>
      <c r="P61" s="50"/>
      <c r="Q61" s="8">
        <v>8</v>
      </c>
      <c r="R61" s="102">
        <v>7</v>
      </c>
      <c r="S61" s="8">
        <v>70</v>
      </c>
      <c r="T61" s="6">
        <v>64</v>
      </c>
      <c r="U61" s="39"/>
      <c r="V61" s="39"/>
      <c r="W61" s="39">
        <v>4.8032726938441197</v>
      </c>
      <c r="X61" s="39">
        <v>3.8047589248453701</v>
      </c>
      <c r="Y61" s="55">
        <f>S61*External_Sources!$D$37</f>
        <v>4671.605467649104</v>
      </c>
      <c r="Z61" s="50">
        <f>T61*External_Sources!$D$37</f>
        <v>4271.1821418506097</v>
      </c>
      <c r="AA61" s="68">
        <f t="shared" si="48"/>
        <v>583.95068345613799</v>
      </c>
      <c r="AB61" s="49">
        <f t="shared" si="48"/>
        <v>610.16887740722996</v>
      </c>
      <c r="AC61" s="50">
        <f>W61*External_Sources!$D$29</f>
        <v>353.44981017201064</v>
      </c>
      <c r="AD61" s="50">
        <f>X61*External_Sources!$D$29</f>
        <v>279.97396888591095</v>
      </c>
      <c r="AE61" s="8">
        <v>60</v>
      </c>
      <c r="AF61" s="102">
        <v>9</v>
      </c>
      <c r="AG61" s="8">
        <v>1192</v>
      </c>
      <c r="AH61" s="6">
        <v>547</v>
      </c>
      <c r="AI61" s="39"/>
      <c r="AJ61" s="39"/>
      <c r="AK61" s="39">
        <v>46.6405172903061</v>
      </c>
      <c r="AL61" s="39">
        <v>92.310316023965797</v>
      </c>
      <c r="AM61" s="55">
        <f>AG61*External_Sources!$D$37</f>
        <v>79550.767391967602</v>
      </c>
      <c r="AN61" s="50">
        <f>AH61*External_Sources!$D$37</f>
        <v>36505.25986862943</v>
      </c>
      <c r="AO61" s="50">
        <f t="shared" si="49"/>
        <v>1325.84612319946</v>
      </c>
      <c r="AP61" s="49">
        <f t="shared" si="49"/>
        <v>4056.1399854032697</v>
      </c>
      <c r="AQ61" s="50">
        <f>AK61*External_Sources!$D$29</f>
        <v>3432.0520681056423</v>
      </c>
      <c r="AR61" s="60">
        <f>AL61*External_Sources!$D$29</f>
        <v>6792.6736113491761</v>
      </c>
    </row>
    <row r="62" spans="1:44" ht="15.75" thickBot="1" x14ac:dyDescent="0.3">
      <c r="A62" s="262"/>
      <c r="B62" s="15" t="s">
        <v>14</v>
      </c>
      <c r="C62" s="66">
        <f>SUM(C55:C61)</f>
        <v>16116</v>
      </c>
      <c r="D62" s="99"/>
      <c r="E62" s="16">
        <f>SUM(E55:E61)</f>
        <v>115021</v>
      </c>
      <c r="F62" s="17"/>
      <c r="G62" s="70">
        <f>IF(C62,E62/C62,"")</f>
        <v>7.1370687515512534</v>
      </c>
      <c r="H62" s="67"/>
      <c r="I62" s="40">
        <f>SQRT(((C59-1)*I59^2+(C60-1)*I60^2+(C61-1)*I61^2)/(C59+C60+C61-3))</f>
        <v>7.1133445774396735</v>
      </c>
      <c r="J62" s="40"/>
      <c r="K62" s="74">
        <f>SUM(K55:K61)</f>
        <v>9462579.6596170589</v>
      </c>
      <c r="L62" s="57"/>
      <c r="M62" s="77">
        <f>K62/C62</f>
        <v>587.15435961882963</v>
      </c>
      <c r="N62" s="77"/>
      <c r="O62" s="40">
        <f>SQRT(((C59-1)*O59^2+(C60-1)*O60^2+(C61-1)*O61^2)/(C59+C60+C61-3))</f>
        <v>604.629788172399</v>
      </c>
      <c r="P62" s="206"/>
      <c r="Q62" s="66">
        <f>SUM(Q55:Q61)</f>
        <v>364</v>
      </c>
      <c r="R62" s="104">
        <f>SUM(R55:R61)</f>
        <v>188</v>
      </c>
      <c r="S62" s="35">
        <f>SUM(S58:S61)</f>
        <v>3088</v>
      </c>
      <c r="T62" s="15">
        <f>SUM(T58:T61)</f>
        <v>3465</v>
      </c>
      <c r="U62" s="40"/>
      <c r="V62" s="40"/>
      <c r="W62" s="40">
        <f t="array" ref="W62">SQRT(AVERAGE(W59:W61^2))</f>
        <v>18.613737640585018</v>
      </c>
      <c r="X62" s="40">
        <f t="array" ref="X62">SQRT(AVERAGE(X58:X61^2))</f>
        <v>45.763581422440673</v>
      </c>
      <c r="Y62" s="74">
        <f>SUM(Y55:Y61)</f>
        <v>242520.00430778094</v>
      </c>
      <c r="Z62" s="57">
        <f>SUM(Z55:Z61)</f>
        <v>295770.8192608048</v>
      </c>
      <c r="AA62" s="77">
        <f t="shared" si="48"/>
        <v>666.26374809829929</v>
      </c>
      <c r="AB62" s="57">
        <f t="shared" si="48"/>
        <v>1573.2490386213021</v>
      </c>
      <c r="AC62" s="57"/>
      <c r="AD62" s="57"/>
      <c r="AE62" s="66">
        <f>SUM(AE55:AE61)</f>
        <v>853</v>
      </c>
      <c r="AF62" s="104">
        <f>SUM(AF55:AF61)</f>
        <v>147</v>
      </c>
      <c r="AG62" s="35">
        <f>SUM(AG58:AG61)</f>
        <v>9627</v>
      </c>
      <c r="AH62" s="15">
        <f>SUM(AH58:AH61)</f>
        <v>6816</v>
      </c>
      <c r="AI62" s="40"/>
      <c r="AJ62" s="40"/>
      <c r="AK62" s="40">
        <f t="array" ref="AK62">SQRT(AVERAGE(AK58:AK61^2))</f>
        <v>25.942123010489279</v>
      </c>
      <c r="AL62" s="40">
        <f t="array" ref="AL62">SQRT(AVERAGE(AL58:AL61^2))</f>
        <v>88.523521907352119</v>
      </c>
      <c r="AM62" s="74">
        <f>SUM(AM55:AM61)</f>
        <v>802814.0559291821</v>
      </c>
      <c r="AN62" s="57">
        <f>SUM(AN55:AN61)</f>
        <v>578921.89971878007</v>
      </c>
      <c r="AO62" s="57">
        <f t="shared" si="49"/>
        <v>941.16536451252296</v>
      </c>
      <c r="AP62" s="57">
        <f t="shared" si="49"/>
        <v>3938.2442157740143</v>
      </c>
      <c r="AQ62" s="57"/>
      <c r="AR62" s="206"/>
    </row>
    <row r="63" spans="1:44" ht="15.75" thickTop="1" x14ac:dyDescent="0.25">
      <c r="A63" s="263">
        <v>2014</v>
      </c>
      <c r="B63" s="5" t="s">
        <v>0</v>
      </c>
      <c r="C63" s="2"/>
      <c r="D63" s="115"/>
      <c r="E63" s="2"/>
      <c r="F63" s="115"/>
      <c r="G63" s="71"/>
      <c r="H63" s="115"/>
      <c r="I63" s="37"/>
      <c r="J63" s="37"/>
      <c r="K63" s="54"/>
      <c r="L63" s="49"/>
      <c r="M63" s="68"/>
      <c r="N63" s="69"/>
      <c r="O63" s="49"/>
      <c r="P63" s="49"/>
      <c r="Q63" s="2"/>
      <c r="R63" s="102"/>
      <c r="S63" s="115"/>
      <c r="T63" s="115"/>
      <c r="U63" s="37"/>
      <c r="V63" s="37"/>
      <c r="W63" s="37"/>
      <c r="X63" s="37"/>
      <c r="Y63" s="54"/>
      <c r="Z63" s="49"/>
      <c r="AA63" s="68"/>
      <c r="AB63" s="49"/>
      <c r="AC63" s="49"/>
      <c r="AD63" s="49"/>
      <c r="AE63" s="2"/>
      <c r="AF63" s="102"/>
      <c r="AG63" s="2"/>
      <c r="AH63" s="5"/>
      <c r="AI63" s="71"/>
      <c r="AJ63" s="71"/>
      <c r="AK63" s="71"/>
      <c r="AL63" s="71"/>
      <c r="AM63" s="205"/>
      <c r="AN63" s="49"/>
      <c r="AO63" s="49"/>
      <c r="AP63" s="49"/>
      <c r="AQ63" s="51"/>
      <c r="AR63" s="59"/>
    </row>
    <row r="64" spans="1:44" x14ac:dyDescent="0.25">
      <c r="A64" s="261"/>
      <c r="B64" s="5" t="s">
        <v>1</v>
      </c>
      <c r="C64" s="2"/>
      <c r="D64" s="115"/>
      <c r="E64" s="2"/>
      <c r="F64" s="115"/>
      <c r="G64" s="71"/>
      <c r="H64" s="115"/>
      <c r="I64" s="37"/>
      <c r="J64" s="37"/>
      <c r="K64" s="54"/>
      <c r="L64" s="49"/>
      <c r="M64" s="68"/>
      <c r="N64" s="69"/>
      <c r="O64" s="49"/>
      <c r="P64" s="49"/>
      <c r="Q64" s="2"/>
      <c r="R64" s="102"/>
      <c r="S64" s="115"/>
      <c r="T64" s="115"/>
      <c r="U64" s="37"/>
      <c r="V64" s="37"/>
      <c r="W64" s="37"/>
      <c r="X64" s="37"/>
      <c r="Y64" s="54"/>
      <c r="Z64" s="49"/>
      <c r="AA64" s="68"/>
      <c r="AB64" s="49"/>
      <c r="AC64" s="49"/>
      <c r="AD64" s="49"/>
      <c r="AE64" s="2"/>
      <c r="AF64" s="102"/>
      <c r="AG64" s="2"/>
      <c r="AH64" s="5"/>
      <c r="AI64" s="71"/>
      <c r="AJ64" s="71"/>
      <c r="AK64" s="71"/>
      <c r="AL64" s="71"/>
      <c r="AM64" s="54"/>
      <c r="AN64" s="49"/>
      <c r="AO64" s="49"/>
      <c r="AP64" s="49"/>
      <c r="AQ64" s="51"/>
      <c r="AR64" s="59"/>
    </row>
    <row r="65" spans="1:44" x14ac:dyDescent="0.25">
      <c r="A65" s="261"/>
      <c r="B65" s="5" t="s">
        <v>2</v>
      </c>
      <c r="C65" s="2"/>
      <c r="D65" s="115"/>
      <c r="E65" s="2"/>
      <c r="F65" s="115"/>
      <c r="G65" s="71"/>
      <c r="H65" s="115"/>
      <c r="I65" s="37"/>
      <c r="J65" s="37"/>
      <c r="K65" s="54"/>
      <c r="L65" s="49"/>
      <c r="M65" s="68"/>
      <c r="N65" s="69"/>
      <c r="O65" s="49"/>
      <c r="P65" s="49"/>
      <c r="Q65" s="2"/>
      <c r="R65" s="102"/>
      <c r="S65" s="115"/>
      <c r="T65" s="115"/>
      <c r="U65" s="37"/>
      <c r="V65" s="37"/>
      <c r="W65" s="37"/>
      <c r="X65" s="37"/>
      <c r="Y65" s="54"/>
      <c r="Z65" s="49"/>
      <c r="AA65" s="68"/>
      <c r="AB65" s="49"/>
      <c r="AC65" s="49"/>
      <c r="AD65" s="49"/>
      <c r="AE65" s="2"/>
      <c r="AF65" s="102"/>
      <c r="AG65" s="2"/>
      <c r="AH65" s="5"/>
      <c r="AI65" s="71"/>
      <c r="AJ65" s="71"/>
      <c r="AK65" s="71"/>
      <c r="AL65" s="71"/>
      <c r="AM65" s="54"/>
      <c r="AN65" s="49"/>
      <c r="AO65" s="49"/>
      <c r="AP65" s="49"/>
      <c r="AQ65" s="51"/>
      <c r="AR65" s="59"/>
    </row>
    <row r="66" spans="1:44" x14ac:dyDescent="0.25">
      <c r="A66" s="261"/>
      <c r="B66" s="5" t="s">
        <v>3</v>
      </c>
      <c r="C66" s="2">
        <v>46</v>
      </c>
      <c r="D66" s="115"/>
      <c r="E66" s="2">
        <v>222</v>
      </c>
      <c r="F66" s="115"/>
      <c r="G66" s="71">
        <f t="shared" ref="G66:G71" si="50">IF(C66,E66/C66,"")</f>
        <v>4.8260869565217392</v>
      </c>
      <c r="H66" s="115"/>
      <c r="I66" s="37">
        <v>3.6227941814515798</v>
      </c>
      <c r="J66" s="37"/>
      <c r="K66" s="54">
        <f>E66*External_Sources!$D$42</f>
        <v>8376.8000000000011</v>
      </c>
      <c r="L66" s="49"/>
      <c r="M66" s="68">
        <f t="shared" ref="M66:M71" si="51">K66/C66</f>
        <v>182.10434782608698</v>
      </c>
      <c r="N66" s="69"/>
      <c r="O66" s="49">
        <f>I66*External_Sources!$D42</f>
        <v>136.70010044677295</v>
      </c>
      <c r="P66" s="49"/>
      <c r="Q66" s="2">
        <v>2</v>
      </c>
      <c r="R66" s="102">
        <v>0</v>
      </c>
      <c r="S66" s="115">
        <v>6</v>
      </c>
      <c r="T66" s="115">
        <v>0</v>
      </c>
      <c r="U66" s="37"/>
      <c r="V66" s="37"/>
      <c r="W66" s="37">
        <v>1.4142135623731</v>
      </c>
      <c r="X66" s="37">
        <v>0</v>
      </c>
      <c r="Y66" s="54"/>
      <c r="Z66" s="49"/>
      <c r="AA66" s="68"/>
      <c r="AB66" s="49"/>
      <c r="AC66" s="49"/>
      <c r="AD66" s="49"/>
      <c r="AE66" s="2">
        <v>0</v>
      </c>
      <c r="AF66" s="102">
        <v>0</v>
      </c>
      <c r="AG66" s="2">
        <v>0</v>
      </c>
      <c r="AH66" s="5">
        <v>0</v>
      </c>
      <c r="AI66" s="71"/>
      <c r="AJ66" s="71"/>
      <c r="AK66" s="71">
        <v>0</v>
      </c>
      <c r="AL66" s="71">
        <v>0</v>
      </c>
      <c r="AM66" s="54"/>
      <c r="AN66" s="49"/>
      <c r="AO66" s="49"/>
      <c r="AP66" s="49"/>
      <c r="AQ66" s="51"/>
      <c r="AR66" s="59"/>
    </row>
    <row r="67" spans="1:44" x14ac:dyDescent="0.25">
      <c r="A67" s="261"/>
      <c r="B67" s="5" t="s">
        <v>4</v>
      </c>
      <c r="C67" s="2">
        <v>2314</v>
      </c>
      <c r="D67" s="115"/>
      <c r="E67" s="2">
        <v>12675</v>
      </c>
      <c r="F67" s="115"/>
      <c r="G67" s="71">
        <f t="shared" si="50"/>
        <v>5.4775280898876408</v>
      </c>
      <c r="H67" s="115"/>
      <c r="I67" s="37">
        <v>5.1229473034969599</v>
      </c>
      <c r="J67" s="37"/>
      <c r="K67" s="54">
        <f>E67*External_Sources!$D$43</f>
        <v>810665.4681247205</v>
      </c>
      <c r="L67" s="49"/>
      <c r="M67" s="68">
        <f t="shared" si="51"/>
        <v>350.33079867101145</v>
      </c>
      <c r="N67" s="69"/>
      <c r="O67" s="49">
        <f>I67*External_Sources!$D43</f>
        <v>327.65258177259466</v>
      </c>
      <c r="P67" s="49"/>
      <c r="Q67" s="2">
        <v>92</v>
      </c>
      <c r="R67" s="102">
        <v>33</v>
      </c>
      <c r="S67" s="115">
        <v>559</v>
      </c>
      <c r="T67" s="115">
        <v>366</v>
      </c>
      <c r="U67" s="37"/>
      <c r="V67" s="37"/>
      <c r="W67" s="37">
        <v>3.9868842544384901</v>
      </c>
      <c r="X67" s="37">
        <v>22.003357181864899</v>
      </c>
      <c r="Y67" s="54">
        <f>S67*External_Sources!$D$43</f>
        <v>35752.425773705618</v>
      </c>
      <c r="Z67" s="49">
        <f>T67*External_Sources!$D$43</f>
        <v>23408.564996737488</v>
      </c>
      <c r="AA67" s="68">
        <f t="shared" ref="AA67:AB70" si="52">Y67/Q67</f>
        <v>388.61332362723499</v>
      </c>
      <c r="AB67" s="49">
        <f t="shared" si="52"/>
        <v>709.35045444659056</v>
      </c>
      <c r="AC67" s="49">
        <f>W67*External_Sources!$D$27</f>
        <v>275.64684584714917</v>
      </c>
      <c r="AD67" s="49">
        <f>X67*External_Sources!$D$27</f>
        <v>1521.2771723877115</v>
      </c>
      <c r="AE67" s="2">
        <v>32</v>
      </c>
      <c r="AF67" s="102">
        <v>11</v>
      </c>
      <c r="AG67" s="2">
        <v>534</v>
      </c>
      <c r="AH67" s="5">
        <v>672</v>
      </c>
      <c r="AI67" s="71"/>
      <c r="AJ67" s="71"/>
      <c r="AK67" s="71">
        <v>18.586220181767999</v>
      </c>
      <c r="AL67" s="71">
        <v>159.87523544655301</v>
      </c>
      <c r="AM67" s="54">
        <f>AG67*External_Sources!$D$43</f>
        <v>34153.480077207154</v>
      </c>
      <c r="AN67" s="49">
        <f>AH67*External_Sources!$D$43</f>
        <v>42979.660321878669</v>
      </c>
      <c r="AO67" s="49">
        <f t="shared" ref="AO67:AP70" si="53">AM67/AE67</f>
        <v>1067.2962524127236</v>
      </c>
      <c r="AP67" s="49">
        <f t="shared" si="53"/>
        <v>3907.2418474435153</v>
      </c>
      <c r="AQ67" s="51">
        <f>AK67*External_Sources!$D$27</f>
        <v>1285.0217468995795</v>
      </c>
      <c r="AR67" s="59">
        <f>AL67*External_Sources!$D$27</f>
        <v>11053.519883566154</v>
      </c>
    </row>
    <row r="68" spans="1:44" x14ac:dyDescent="0.25">
      <c r="A68" s="261"/>
      <c r="B68" s="5" t="s">
        <v>5</v>
      </c>
      <c r="C68" s="2">
        <v>4277</v>
      </c>
      <c r="D68" s="115"/>
      <c r="E68" s="2">
        <v>29718</v>
      </c>
      <c r="F68" s="115"/>
      <c r="G68" s="71">
        <f t="shared" si="50"/>
        <v>6.948328267477204</v>
      </c>
      <c r="H68" s="115"/>
      <c r="I68" s="37">
        <v>8.5462527917442994</v>
      </c>
      <c r="J68" s="37"/>
      <c r="K68" s="54">
        <f>E68*External_Sources!$D$44</f>
        <v>2727876.4686155762</v>
      </c>
      <c r="L68" s="49"/>
      <c r="M68" s="68">
        <f t="shared" si="51"/>
        <v>637.80137213363946</v>
      </c>
      <c r="N68" s="69"/>
      <c r="O68" s="49">
        <f>I68*External_Sources!$D44</f>
        <v>784.47815752875181</v>
      </c>
      <c r="P68" s="49"/>
      <c r="Q68" s="2">
        <v>134</v>
      </c>
      <c r="R68" s="102">
        <v>37</v>
      </c>
      <c r="S68" s="115">
        <v>1479</v>
      </c>
      <c r="T68" s="115">
        <v>471</v>
      </c>
      <c r="U68" s="37"/>
      <c r="V68" s="37"/>
      <c r="W68" s="37">
        <v>27.529179793384898</v>
      </c>
      <c r="X68" s="37">
        <v>20.8548537497851</v>
      </c>
      <c r="Y68" s="54">
        <f>S68*External_Sources!$D$44</f>
        <v>135760.45820992114</v>
      </c>
      <c r="Z68" s="49">
        <f>T68*External_Sources!$D$44</f>
        <v>43234.060728108765</v>
      </c>
      <c r="AA68" s="68">
        <f t="shared" si="52"/>
        <v>1013.1377478352324</v>
      </c>
      <c r="AB68" s="49">
        <f t="shared" si="52"/>
        <v>1168.4881277867235</v>
      </c>
      <c r="AC68" s="49">
        <f>W68*External_Sources!$D$28</f>
        <v>2731.6439229125008</v>
      </c>
      <c r="AD68" s="49">
        <f>X68*External_Sources!$D$28</f>
        <v>2069.36911801922</v>
      </c>
      <c r="AE68" s="2">
        <v>126</v>
      </c>
      <c r="AF68" s="102">
        <v>30</v>
      </c>
      <c r="AG68" s="2">
        <v>2735</v>
      </c>
      <c r="AH68" s="5">
        <v>1827</v>
      </c>
      <c r="AI68" s="71"/>
      <c r="AJ68" s="71"/>
      <c r="AK68" s="71">
        <v>49.477601794802901</v>
      </c>
      <c r="AL68" s="71">
        <v>153.872842711565</v>
      </c>
      <c r="AM68" s="54">
        <f>AG68*External_Sources!$D$44</f>
        <v>251051.2868182112</v>
      </c>
      <c r="AN68" s="49">
        <f>AH68*External_Sources!$D$44</f>
        <v>167704.09543578496</v>
      </c>
      <c r="AO68" s="49">
        <f t="shared" si="53"/>
        <v>1992.4705303032636</v>
      </c>
      <c r="AP68" s="49">
        <f t="shared" si="53"/>
        <v>5590.1365145261652</v>
      </c>
      <c r="AQ68" s="51">
        <f>AK68*External_Sources!$D$28</f>
        <v>4909.5247761626006</v>
      </c>
      <c r="AR68" s="59">
        <f>AL68*External_Sources!$D$28</f>
        <v>15268.374097920616</v>
      </c>
    </row>
    <row r="69" spans="1:44" x14ac:dyDescent="0.25">
      <c r="A69" s="261"/>
      <c r="B69" s="6" t="s">
        <v>6</v>
      </c>
      <c r="C69" s="8">
        <v>308</v>
      </c>
      <c r="D69" s="53"/>
      <c r="E69" s="8">
        <v>2393</v>
      </c>
      <c r="F69" s="6"/>
      <c r="G69" s="39">
        <f t="shared" si="50"/>
        <v>7.7694805194805197</v>
      </c>
      <c r="H69" s="6"/>
      <c r="I69" s="39">
        <v>7.6928437499562099</v>
      </c>
      <c r="J69" s="39"/>
      <c r="K69" s="55">
        <f>E69*External_Sources!$D$45</f>
        <v>162894.91000880551</v>
      </c>
      <c r="L69" s="50"/>
      <c r="M69" s="68">
        <f t="shared" si="51"/>
        <v>528.87957795066723</v>
      </c>
      <c r="N69" s="75"/>
      <c r="O69" s="49">
        <f>I69*External_Sources!$D45</f>
        <v>523.66280416252346</v>
      </c>
      <c r="P69" s="50"/>
      <c r="Q69" s="8">
        <v>13</v>
      </c>
      <c r="R69" s="102">
        <v>1</v>
      </c>
      <c r="S69" s="8">
        <v>144</v>
      </c>
      <c r="T69" s="6">
        <v>5</v>
      </c>
      <c r="U69" s="39"/>
      <c r="V69" s="39"/>
      <c r="W69" s="39">
        <v>8.8361147048305693</v>
      </c>
      <c r="X69" s="39">
        <v>0</v>
      </c>
      <c r="Y69" s="55">
        <f>S69*External_Sources!$D$45</f>
        <v>9802.284597270369</v>
      </c>
      <c r="Z69" s="50">
        <f>T69*External_Sources!$D$45</f>
        <v>340.35710407188782</v>
      </c>
      <c r="AA69" s="68">
        <f t="shared" si="52"/>
        <v>754.02189209772064</v>
      </c>
      <c r="AB69" s="49">
        <f t="shared" si="52"/>
        <v>340.35710407188782</v>
      </c>
      <c r="AC69" s="50">
        <f>W69*External_Sources!$D$29</f>
        <v>650.20731991399839</v>
      </c>
      <c r="AD69" s="50">
        <f>X69*External_Sources!$D$29</f>
        <v>0</v>
      </c>
      <c r="AE69" s="8">
        <v>11</v>
      </c>
      <c r="AF69" s="102">
        <v>8</v>
      </c>
      <c r="AG69" s="8">
        <v>377</v>
      </c>
      <c r="AH69" s="6">
        <v>115</v>
      </c>
      <c r="AI69" s="39"/>
      <c r="AJ69" s="39"/>
      <c r="AK69" s="39">
        <v>80.343127782145601</v>
      </c>
      <c r="AL69" s="39">
        <v>7.5011903817232302</v>
      </c>
      <c r="AM69" s="55">
        <f>AG69*External_Sources!$D$45</f>
        <v>25662.92564702034</v>
      </c>
      <c r="AN69" s="50">
        <f>AH69*External_Sources!$D$45</f>
        <v>7828.2133936534192</v>
      </c>
      <c r="AO69" s="50">
        <f t="shared" si="53"/>
        <v>2332.9932406382127</v>
      </c>
      <c r="AP69" s="49">
        <f t="shared" si="53"/>
        <v>978.5266742066774</v>
      </c>
      <c r="AQ69" s="50">
        <f>AK69*External_Sources!$D$29</f>
        <v>5912.0656005266837</v>
      </c>
      <c r="AR69" s="60">
        <f>AL69*External_Sources!$D$29</f>
        <v>551.97663873677004</v>
      </c>
    </row>
    <row r="70" spans="1:44" ht="15.75" thickBot="1" x14ac:dyDescent="0.3">
      <c r="A70" s="262"/>
      <c r="B70" s="15" t="s">
        <v>14</v>
      </c>
      <c r="C70" s="66">
        <f>SUM(C63:C69)</f>
        <v>6945</v>
      </c>
      <c r="D70" s="99"/>
      <c r="E70" s="16">
        <f>SUM(E63:E69)</f>
        <v>45008</v>
      </c>
      <c r="F70" s="17"/>
      <c r="G70" s="70">
        <f t="shared" si="50"/>
        <v>6.480633549316055</v>
      </c>
      <c r="H70" s="67"/>
      <c r="I70" s="40">
        <f>SQRT(((C67-1)*I67^2+(C68-1)*I68^2+(C69-1)*I69^2)/(C67+C68+C69-3))</f>
        <v>7.5316838740556369</v>
      </c>
      <c r="J70" s="40"/>
      <c r="K70" s="74">
        <f>SUM(K63:K69)</f>
        <v>3709813.646749102</v>
      </c>
      <c r="L70" s="57"/>
      <c r="M70" s="77">
        <f t="shared" si="51"/>
        <v>534.17043149735093</v>
      </c>
      <c r="N70" s="77"/>
      <c r="O70" s="40">
        <f>SQRT(((C67-1)*O67^2+(C68-1)*O68^2+(C69-1)*O69^2)/(C67+C68+C69-3))</f>
        <v>655.59979352203277</v>
      </c>
      <c r="P70" s="206"/>
      <c r="Q70" s="66">
        <f>SUM(Q63:Q69)</f>
        <v>241</v>
      </c>
      <c r="R70" s="104">
        <f>SUM(R63:R69)</f>
        <v>71</v>
      </c>
      <c r="S70" s="35">
        <f>SUM(S63:S69)</f>
        <v>2188</v>
      </c>
      <c r="T70" s="15">
        <f>SUM(T63:T69)</f>
        <v>842</v>
      </c>
      <c r="U70" s="40"/>
      <c r="V70" s="40"/>
      <c r="W70" s="40">
        <f t="array" ref="W70">SQRT(AVERAGE(W66:W69^2))</f>
        <v>14.610166915813487</v>
      </c>
      <c r="X70" s="40">
        <f t="array" ref="X70">SQRT(AVERAGE(X66:X69^2))</f>
        <v>15.158105523099278</v>
      </c>
      <c r="Y70" s="74">
        <f>SUM(Y63:Y69)</f>
        <v>181315.16858089712</v>
      </c>
      <c r="Z70" s="57">
        <f>SUM(Z63:Z69)</f>
        <v>66982.982828918131</v>
      </c>
      <c r="AA70" s="77">
        <f t="shared" si="52"/>
        <v>752.3450978460462</v>
      </c>
      <c r="AB70" s="57">
        <f t="shared" si="52"/>
        <v>943.42229336504408</v>
      </c>
      <c r="AC70" s="57"/>
      <c r="AD70" s="57"/>
      <c r="AE70" s="66">
        <f>SUM(AE63:AE69)</f>
        <v>169</v>
      </c>
      <c r="AF70" s="104">
        <f>SUM(AF63:AF69)</f>
        <v>49</v>
      </c>
      <c r="AG70" s="35">
        <f>SUM(AG63:AG69)</f>
        <v>3646</v>
      </c>
      <c r="AH70" s="15">
        <f>SUM(AH63:AH69)</f>
        <v>2614</v>
      </c>
      <c r="AI70" s="40"/>
      <c r="AJ70" s="40"/>
      <c r="AK70" s="40">
        <f t="array" ref="AK70">SQRT(AVERAGE(AK66:AK69^2))</f>
        <v>48.084557920990655</v>
      </c>
      <c r="AL70" s="40">
        <f t="array" ref="AL70">SQRT(AVERAGE(AL66:AL69^2))</f>
        <v>111.01037168928366</v>
      </c>
      <c r="AM70" s="74">
        <f>SUM(AM63:AM69)</f>
        <v>310867.69254243869</v>
      </c>
      <c r="AN70" s="57">
        <f>SUM(AN63:AN69)</f>
        <v>218511.96915131705</v>
      </c>
      <c r="AO70" s="77">
        <f t="shared" si="53"/>
        <v>1839.4538020262644</v>
      </c>
      <c r="AP70" s="77">
        <f t="shared" si="53"/>
        <v>4459.4279418636133</v>
      </c>
      <c r="AQ70" s="57"/>
      <c r="AR70" s="206"/>
    </row>
    <row r="71" spans="1:44" ht="16.5" thickTop="1" thickBot="1" x14ac:dyDescent="0.3">
      <c r="A71" s="259" t="s">
        <v>14</v>
      </c>
      <c r="B71" s="259"/>
      <c r="C71" s="101">
        <f>SUM(C54,C62,C70)</f>
        <v>30022</v>
      </c>
      <c r="D71" s="100"/>
      <c r="E71" s="81">
        <f>SUM(E70,E62,E54)</f>
        <v>206330</v>
      </c>
      <c r="F71" s="82"/>
      <c r="G71" s="83">
        <f t="shared" si="50"/>
        <v>6.8726267403903805</v>
      </c>
      <c r="H71" s="111"/>
      <c r="I71" s="83">
        <f>SQRT((I54^2*(C54-1)+I62^2*(C62-1)+I70^2*(C70-1))/(C54+C62+C70-3))</f>
        <v>8.2156059296079373</v>
      </c>
      <c r="J71" s="83"/>
      <c r="K71" s="84">
        <f>K54+K62+K70</f>
        <v>17309025.948210631</v>
      </c>
      <c r="L71" s="85"/>
      <c r="M71" s="85">
        <f t="shared" si="51"/>
        <v>576.54473213678739</v>
      </c>
      <c r="N71" s="85"/>
      <c r="O71" s="83">
        <f>SQRT((O54^2*(C54-1)+O62^2*(C62-1)+O70^2*(C70-1))/(C54+C62+C70-3))</f>
        <v>727.21130593892565</v>
      </c>
      <c r="P71" s="89"/>
      <c r="Q71" s="101">
        <f>SUM(Q54,Q62,Q70)</f>
        <v>803</v>
      </c>
      <c r="R71" s="105">
        <f>SUM(R54,R62,R70)</f>
        <v>331</v>
      </c>
      <c r="S71" s="81">
        <f>SUM(S54,S62,S70)</f>
        <v>6821</v>
      </c>
      <c r="T71" s="82">
        <f>SUM(T54,T62,T70)</f>
        <v>4887</v>
      </c>
      <c r="U71" s="83"/>
      <c r="V71" s="83"/>
      <c r="W71" s="83">
        <f>SQRT(AVERAGE(W54^2,W62^2,W70^2))</f>
        <v>14.840430082924266</v>
      </c>
      <c r="X71" s="83">
        <f>SQRT(AVERAGE(X54^2,X62^2,X70^2))</f>
        <v>28.446778254307077</v>
      </c>
      <c r="Y71" s="84">
        <f>Y54+Y62+Y70</f>
        <v>557200.00704215677</v>
      </c>
      <c r="Z71" s="85">
        <f>Z54+Z62+Z70</f>
        <v>413419.63149565493</v>
      </c>
      <c r="AA71" s="85">
        <f>AA54+AA62+AA70</f>
        <v>2092.1686143962579</v>
      </c>
      <c r="AB71" s="85">
        <f>AB54+AB62+AB70</f>
        <v>3220.3634070687344</v>
      </c>
      <c r="AC71" s="85"/>
      <c r="AD71" s="85"/>
      <c r="AE71" s="101">
        <f>SUM(AE54,AE62,AE70)</f>
        <v>1470</v>
      </c>
      <c r="AF71" s="105">
        <f>SUM(AF54,AF62,AF70)</f>
        <v>257</v>
      </c>
      <c r="AG71" s="81">
        <f>SUM(AG54,AG62,AG70)</f>
        <v>17714</v>
      </c>
      <c r="AH71" s="82">
        <f>SUM(AH54,AH62,AH70)</f>
        <v>11376</v>
      </c>
      <c r="AI71" s="83"/>
      <c r="AJ71" s="83"/>
      <c r="AK71" s="83">
        <f>SQRT(AVERAGE(AK54^2,AK62^2,AK70^2))</f>
        <v>32.469934226020627</v>
      </c>
      <c r="AL71" s="83">
        <f>SQRT(AVERAGE(AL54^2,AL62^2,AL70^2))</f>
        <v>92.508425089446945</v>
      </c>
      <c r="AM71" s="84">
        <f>AM54+AM62+AM70</f>
        <v>1526339.5492040026</v>
      </c>
      <c r="AN71" s="85">
        <f>AN54+AN62+AN70</f>
        <v>961651.08370085654</v>
      </c>
      <c r="AO71" s="86">
        <f>AO54+AO62+AO70</f>
        <v>3701.7303288878538</v>
      </c>
      <c r="AP71" s="86">
        <f>AP54+AP62+AP70</f>
        <v>11089.757646666472</v>
      </c>
      <c r="AQ71" s="85"/>
      <c r="AR71" s="89"/>
    </row>
    <row r="72" spans="1:44" x14ac:dyDescent="0.25">
      <c r="A72" s="273" t="s">
        <v>35</v>
      </c>
      <c r="B72" s="5" t="s">
        <v>0</v>
      </c>
      <c r="C72" s="3"/>
      <c r="D72" s="9"/>
      <c r="E72" s="3"/>
      <c r="F72" s="9"/>
      <c r="G72" s="71"/>
      <c r="H72" s="115"/>
      <c r="I72" s="71"/>
      <c r="J72" s="71"/>
      <c r="K72" s="54"/>
      <c r="L72" s="51"/>
      <c r="M72" s="51"/>
      <c r="N72" s="51"/>
      <c r="O72" s="51"/>
      <c r="P72" s="59"/>
      <c r="Q72" s="3"/>
      <c r="R72" s="106"/>
      <c r="S72" s="3"/>
      <c r="T72" s="9"/>
      <c r="U72" s="37"/>
      <c r="V72" s="37"/>
      <c r="W72" s="71"/>
      <c r="X72" s="71"/>
      <c r="Y72" s="54"/>
      <c r="Z72" s="51"/>
      <c r="AA72" s="51"/>
      <c r="AB72" s="49"/>
      <c r="AC72" s="51"/>
      <c r="AD72" s="51"/>
      <c r="AE72" s="3"/>
      <c r="AF72" s="106"/>
      <c r="AG72" s="3"/>
      <c r="AH72" s="9"/>
      <c r="AI72" s="71"/>
      <c r="AJ72" s="71"/>
      <c r="AK72" s="71"/>
      <c r="AL72" s="71"/>
      <c r="AM72" s="54"/>
      <c r="AN72" s="51"/>
      <c r="AO72" s="68"/>
      <c r="AP72" s="68"/>
      <c r="AQ72" s="51"/>
      <c r="AR72" s="59"/>
    </row>
    <row r="73" spans="1:44" x14ac:dyDescent="0.25">
      <c r="A73" s="261"/>
      <c r="B73" s="5" t="s">
        <v>1</v>
      </c>
      <c r="C73" s="3"/>
      <c r="D73" s="9"/>
      <c r="E73" s="3"/>
      <c r="F73" s="9"/>
      <c r="G73" s="71"/>
      <c r="H73" s="115"/>
      <c r="I73" s="71"/>
      <c r="J73" s="71"/>
      <c r="K73" s="54"/>
      <c r="L73" s="51"/>
      <c r="M73" s="51"/>
      <c r="N73" s="51"/>
      <c r="O73" s="51"/>
      <c r="P73" s="59"/>
      <c r="Q73" s="3"/>
      <c r="R73" s="106"/>
      <c r="S73" s="3"/>
      <c r="T73" s="9"/>
      <c r="U73" s="37"/>
      <c r="V73" s="37"/>
      <c r="W73" s="71"/>
      <c r="X73" s="71"/>
      <c r="Y73" s="54"/>
      <c r="Z73" s="51"/>
      <c r="AA73" s="51"/>
      <c r="AB73" s="49"/>
      <c r="AC73" s="51"/>
      <c r="AD73" s="51"/>
      <c r="AE73" s="3"/>
      <c r="AF73" s="106"/>
      <c r="AG73" s="3"/>
      <c r="AH73" s="9"/>
      <c r="AI73" s="71"/>
      <c r="AJ73" s="71"/>
      <c r="AK73" s="71"/>
      <c r="AL73" s="71"/>
      <c r="AM73" s="54"/>
      <c r="AN73" s="51"/>
      <c r="AO73" s="68"/>
      <c r="AP73" s="68"/>
      <c r="AQ73" s="51"/>
      <c r="AR73" s="59"/>
    </row>
    <row r="74" spans="1:44" x14ac:dyDescent="0.25">
      <c r="A74" s="261"/>
      <c r="B74" s="5" t="s">
        <v>2</v>
      </c>
      <c r="C74" s="3"/>
      <c r="D74" s="9"/>
      <c r="E74" s="3"/>
      <c r="F74" s="9"/>
      <c r="G74" s="71"/>
      <c r="H74" s="115"/>
      <c r="I74" s="71"/>
      <c r="J74" s="71"/>
      <c r="K74" s="54"/>
      <c r="L74" s="51"/>
      <c r="M74" s="51"/>
      <c r="N74" s="51"/>
      <c r="O74" s="51"/>
      <c r="P74" s="59"/>
      <c r="Q74" s="3"/>
      <c r="R74" s="106"/>
      <c r="S74" s="3"/>
      <c r="T74" s="9"/>
      <c r="U74" s="37"/>
      <c r="V74" s="37"/>
      <c r="W74" s="71"/>
      <c r="X74" s="71"/>
      <c r="Y74" s="54"/>
      <c r="Z74" s="51"/>
      <c r="AA74" s="51"/>
      <c r="AB74" s="49"/>
      <c r="AC74" s="51"/>
      <c r="AD74" s="51"/>
      <c r="AE74" s="3"/>
      <c r="AF74" s="106"/>
      <c r="AG74" s="3"/>
      <c r="AH74" s="9"/>
      <c r="AI74" s="71"/>
      <c r="AJ74" s="71"/>
      <c r="AK74" s="71"/>
      <c r="AL74" s="71"/>
      <c r="AM74" s="54"/>
      <c r="AN74" s="51"/>
      <c r="AO74" s="68"/>
      <c r="AP74" s="68"/>
      <c r="AQ74" s="51"/>
      <c r="AR74" s="59"/>
    </row>
    <row r="75" spans="1:44" x14ac:dyDescent="0.25">
      <c r="A75" s="261"/>
      <c r="B75" s="5" t="s">
        <v>3</v>
      </c>
      <c r="C75" s="3">
        <f>SUM(C50,C58,C66)</f>
        <v>154</v>
      </c>
      <c r="D75" s="9"/>
      <c r="E75" s="3">
        <f>SUM(E50,E58,E66)</f>
        <v>1025</v>
      </c>
      <c r="F75" s="9"/>
      <c r="G75" s="71">
        <f>IF(C75,E75/C75,"")</f>
        <v>6.6558441558441555</v>
      </c>
      <c r="H75" s="115"/>
      <c r="I75" s="71">
        <f>SQRT((I50^2*(C50-1)+I58^2*(C58-1)+I66^2*(C66-1))/(C50+C58+C66-3))</f>
        <v>29.059633554550878</v>
      </c>
      <c r="J75" s="71"/>
      <c r="K75" s="54">
        <f>SUM(K50,K58,K66)</f>
        <v>38709.124880000003</v>
      </c>
      <c r="L75" s="51"/>
      <c r="M75" s="68">
        <f>K75/C75</f>
        <v>251.35795376623378</v>
      </c>
      <c r="N75" s="51"/>
      <c r="O75" s="51">
        <f>SQRT((O50^2*(C50-1)+O58^2*(C58-1)+O66^2*(C66-1))/(C50+C58+C66-3))</f>
        <v>1075.3489969515861</v>
      </c>
      <c r="P75" s="59"/>
      <c r="Q75" s="3">
        <f t="shared" ref="Q75:T78" si="54">SUM(Q50,Q58,Q66)</f>
        <v>5</v>
      </c>
      <c r="R75" s="106">
        <f t="shared" si="54"/>
        <v>4</v>
      </c>
      <c r="S75" s="3">
        <f t="shared" si="54"/>
        <v>26</v>
      </c>
      <c r="T75" s="9">
        <f t="shared" si="54"/>
        <v>7</v>
      </c>
      <c r="U75" s="37"/>
      <c r="V75" s="37"/>
      <c r="W75" s="71">
        <f t="shared" ref="W75:X78" si="55">SQRT(AVERAGE(W50^2,W58^2,W66^2))</f>
        <v>1.1547005383792557</v>
      </c>
      <c r="X75" s="71">
        <f t="shared" si="55"/>
        <v>0.57735026918962573</v>
      </c>
      <c r="Y75" s="54"/>
      <c r="Z75" s="51"/>
      <c r="AA75" s="51"/>
      <c r="AB75" s="49"/>
      <c r="AC75" s="51"/>
      <c r="AD75" s="51"/>
      <c r="AE75" s="3">
        <f t="shared" ref="AE75:AH78" si="56">SUM(AE50,AE58,AE66)</f>
        <v>1</v>
      </c>
      <c r="AF75" s="106">
        <f t="shared" si="56"/>
        <v>0</v>
      </c>
      <c r="AG75" s="3">
        <f t="shared" si="56"/>
        <v>3</v>
      </c>
      <c r="AH75" s="9">
        <f t="shared" si="56"/>
        <v>0</v>
      </c>
      <c r="AI75" s="71"/>
      <c r="AJ75" s="71"/>
      <c r="AK75" s="71">
        <f t="shared" ref="AK75:AL78" si="57">SQRT(AVERAGE(AK50^2,AK58^2,AK66^2))</f>
        <v>0</v>
      </c>
      <c r="AL75" s="71">
        <f t="shared" si="57"/>
        <v>0</v>
      </c>
      <c r="AM75" s="54"/>
      <c r="AN75" s="51"/>
      <c r="AO75" s="68"/>
      <c r="AP75" s="68"/>
      <c r="AQ75" s="51"/>
      <c r="AR75" s="59"/>
    </row>
    <row r="76" spans="1:44" x14ac:dyDescent="0.25">
      <c r="A76" s="261"/>
      <c r="B76" s="5" t="s">
        <v>4</v>
      </c>
      <c r="C76" s="3">
        <f>SUM(C51,C59,C67)</f>
        <v>8963</v>
      </c>
      <c r="D76" s="9"/>
      <c r="E76" s="3">
        <f>SUM(E51,E59,E67)</f>
        <v>51429</v>
      </c>
      <c r="F76" s="9"/>
      <c r="G76" s="71">
        <f>IF(C76,E76/C76,"")</f>
        <v>5.73792257056789</v>
      </c>
      <c r="H76" s="115"/>
      <c r="I76" s="71">
        <f>SQRT((I51^2*(C51-1)+I59^2*(C59-1)+I67^2*(C67-1))/(C51+C59+C67-3))</f>
        <v>6.2789152319092745</v>
      </c>
      <c r="J76" s="71"/>
      <c r="K76" s="54">
        <f>SUM(K51,K59,K67)</f>
        <v>3323520.1854154076</v>
      </c>
      <c r="L76" s="51"/>
      <c r="M76" s="68">
        <f t="shared" ref="M76:M78" si="58">K76/C76</f>
        <v>370.80443885031883</v>
      </c>
      <c r="N76" s="51"/>
      <c r="O76" s="51">
        <f>SQRT((O51^2*(C51-1)+O59^2*(C59-1)+O67^2*(C67-1))/(C51+C59+C67-3))</f>
        <v>416.88319804668185</v>
      </c>
      <c r="P76" s="59"/>
      <c r="Q76" s="3">
        <f t="shared" si="54"/>
        <v>308</v>
      </c>
      <c r="R76" s="106">
        <f t="shared" si="54"/>
        <v>139</v>
      </c>
      <c r="S76" s="3">
        <f t="shared" si="54"/>
        <v>2344</v>
      </c>
      <c r="T76" s="9">
        <f t="shared" si="54"/>
        <v>1103</v>
      </c>
      <c r="U76" s="37"/>
      <c r="V76" s="37"/>
      <c r="W76" s="71">
        <f t="shared" si="55"/>
        <v>19.863827200884941</v>
      </c>
      <c r="X76" s="71">
        <f t="shared" si="55"/>
        <v>14.185568170982954</v>
      </c>
      <c r="Y76" s="54">
        <f t="shared" ref="Y76:AB78" si="59">SUM(Y51,Y59,Y67)</f>
        <v>151334.1213883672</v>
      </c>
      <c r="Z76" s="51">
        <f t="shared" si="59"/>
        <v>71056.417633154066</v>
      </c>
      <c r="AA76" s="51">
        <f t="shared" si="59"/>
        <v>1440.6069132794346</v>
      </c>
      <c r="AB76" s="49">
        <f t="shared" si="59"/>
        <v>1598.0528885984195</v>
      </c>
      <c r="AC76" s="51">
        <f>W76*External_Sources!$D$27</f>
        <v>1373.3534672548178</v>
      </c>
      <c r="AD76" s="51">
        <f>X76*External_Sources!$D$27</f>
        <v>980.7676554763375</v>
      </c>
      <c r="AE76" s="3">
        <f t="shared" si="56"/>
        <v>336</v>
      </c>
      <c r="AF76" s="106">
        <f t="shared" si="56"/>
        <v>50</v>
      </c>
      <c r="AG76" s="3">
        <f t="shared" si="56"/>
        <v>2606</v>
      </c>
      <c r="AH76" s="9">
        <f t="shared" si="56"/>
        <v>2047</v>
      </c>
      <c r="AI76" s="71"/>
      <c r="AJ76" s="71"/>
      <c r="AK76" s="71">
        <f t="shared" si="57"/>
        <v>12.168933656368916</v>
      </c>
      <c r="AL76" s="71">
        <f t="shared" si="57"/>
        <v>115.82772963588168</v>
      </c>
      <c r="AM76" s="54">
        <f t="shared" ref="AM76:AP78" si="60">SUM(AM51,AM59,AM67)</f>
        <v>169024.56236841803</v>
      </c>
      <c r="AN76" s="51">
        <f t="shared" si="60"/>
        <v>132916.95319347506</v>
      </c>
      <c r="AO76" s="68">
        <f t="shared" si="60"/>
        <v>1953.1645701924219</v>
      </c>
      <c r="AP76" s="68">
        <f t="shared" si="60"/>
        <v>8903.3685766507242</v>
      </c>
      <c r="AQ76" s="51">
        <f>AK76*External_Sources!$D$27</f>
        <v>841.34074771973246</v>
      </c>
      <c r="AR76" s="59">
        <f>AL76*External_Sources!$D$27</f>
        <v>8008.145282929414</v>
      </c>
    </row>
    <row r="77" spans="1:44" x14ac:dyDescent="0.25">
      <c r="A77" s="261"/>
      <c r="B77" s="5" t="s">
        <v>5</v>
      </c>
      <c r="C77" s="3">
        <f>SUM(C52,C60,C68)</f>
        <v>19565</v>
      </c>
      <c r="D77" s="9"/>
      <c r="E77" s="3">
        <f>SUM(E52,E60,E68)</f>
        <v>142733</v>
      </c>
      <c r="F77" s="9"/>
      <c r="G77" s="71">
        <f>IF(C77,E77/C77,"")</f>
        <v>7.295323281369793</v>
      </c>
      <c r="H77" s="115"/>
      <c r="I77" s="71">
        <f>SQRT((I52^2*(C52-1)+I60^2*(C60-1)+I68^2*(C68-1))/(C52+C60+C68-3))</f>
        <v>8.8991611575748042</v>
      </c>
      <c r="J77" s="71"/>
      <c r="K77" s="54">
        <f>SUM(K52,K60,K68)</f>
        <v>13183721.320156876</v>
      </c>
      <c r="L77" s="51"/>
      <c r="M77" s="68">
        <f t="shared" si="58"/>
        <v>673.84213238726682</v>
      </c>
      <c r="N77" s="51"/>
      <c r="O77" s="51">
        <f>SQRT((O52^2*(C52-1)+O60^2*(C60-1)+O68^2*(C68-1))/(C52+C60+C68-3))</f>
        <v>837.01490282599104</v>
      </c>
      <c r="P77" s="59"/>
      <c r="Q77" s="3">
        <f t="shared" si="54"/>
        <v>465</v>
      </c>
      <c r="R77" s="106">
        <f t="shared" si="54"/>
        <v>179</v>
      </c>
      <c r="S77" s="3">
        <f t="shared" si="54"/>
        <v>4180</v>
      </c>
      <c r="T77" s="9">
        <f t="shared" si="54"/>
        <v>3705</v>
      </c>
      <c r="U77" s="37"/>
      <c r="V77" s="37"/>
      <c r="W77" s="71">
        <f t="shared" si="55"/>
        <v>17.631498708150737</v>
      </c>
      <c r="X77" s="71">
        <f t="shared" si="55"/>
        <v>54.419037815017283</v>
      </c>
      <c r="Y77" s="54">
        <f t="shared" si="59"/>
        <v>387197.63885255053</v>
      </c>
      <c r="Z77" s="51">
        <f t="shared" si="59"/>
        <v>337530.91899887734</v>
      </c>
      <c r="AA77" s="51">
        <f t="shared" si="59"/>
        <v>2553.4284031258239</v>
      </c>
      <c r="AB77" s="49">
        <f t="shared" si="59"/>
        <v>4599.3450363073107</v>
      </c>
      <c r="AC77" s="51">
        <f>W77*External_Sources!$D$28</f>
        <v>1749.5245648231353</v>
      </c>
      <c r="AD77" s="51">
        <f>X77*External_Sources!$D$28</f>
        <v>5399.8497250491309</v>
      </c>
      <c r="AE77" s="3">
        <f t="shared" si="56"/>
        <v>1042</v>
      </c>
      <c r="AF77" s="106">
        <f t="shared" si="56"/>
        <v>183</v>
      </c>
      <c r="AG77" s="3">
        <f t="shared" si="56"/>
        <v>13346</v>
      </c>
      <c r="AH77" s="9">
        <f t="shared" si="56"/>
        <v>8219</v>
      </c>
      <c r="AI77" s="71"/>
      <c r="AJ77" s="71"/>
      <c r="AK77" s="71">
        <f t="shared" si="57"/>
        <v>34.323829052190582</v>
      </c>
      <c r="AL77" s="71">
        <f t="shared" si="57"/>
        <v>120.09679437524325</v>
      </c>
      <c r="AM77" s="54">
        <f t="shared" si="60"/>
        <v>1238120.1046755316</v>
      </c>
      <c r="AN77" s="51">
        <f t="shared" si="60"/>
        <v>751434.4850017454</v>
      </c>
      <c r="AO77" s="68">
        <f t="shared" si="60"/>
        <v>4171.3716887256742</v>
      </c>
      <c r="AP77" s="68">
        <f t="shared" si="60"/>
        <v>12213.496237452353</v>
      </c>
      <c r="AQ77" s="51">
        <f>AK77*External_Sources!$D$28</f>
        <v>3405.8580657035791</v>
      </c>
      <c r="AR77" s="59">
        <f>AL77*External_Sources!$D$28</f>
        <v>11916.870788690796</v>
      </c>
    </row>
    <row r="78" spans="1:44" x14ac:dyDescent="0.25">
      <c r="A78" s="261"/>
      <c r="B78" s="6" t="s">
        <v>6</v>
      </c>
      <c r="C78" s="10">
        <f>SUM(C53,C61,C69)</f>
        <v>1340</v>
      </c>
      <c r="D78" s="11"/>
      <c r="E78" s="10">
        <f>SUM(E53,E61,E69)</f>
        <v>11143</v>
      </c>
      <c r="F78" s="11"/>
      <c r="G78" s="39">
        <f>IF(C78,E78/C78,"")</f>
        <v>8.3156716417910452</v>
      </c>
      <c r="H78" s="6"/>
      <c r="I78" s="39">
        <f>SQRT((I53^2*(C53-1)+I61^2*(C61-1)+I69^2*(C69-1))/(C53+C61+C69-3))</f>
        <v>9.1681007973264723</v>
      </c>
      <c r="J78" s="39"/>
      <c r="K78" s="55">
        <f>SUM(K53,K61,K69)</f>
        <v>763075.317758349</v>
      </c>
      <c r="L78" s="50"/>
      <c r="M78" s="68">
        <f t="shared" si="58"/>
        <v>569.45919235697681</v>
      </c>
      <c r="N78" s="50"/>
      <c r="O78" s="51">
        <f>SQRT((O53^2*(C53-1)+O61^2*(C61-1)+O69^2*(C69-1))/(C53+C61+C69-3))</f>
        <v>625.56273766647132</v>
      </c>
      <c r="P78" s="60"/>
      <c r="Q78" s="10">
        <f t="shared" si="54"/>
        <v>25</v>
      </c>
      <c r="R78" s="107">
        <f t="shared" si="54"/>
        <v>9</v>
      </c>
      <c r="S78" s="10">
        <f t="shared" si="54"/>
        <v>271</v>
      </c>
      <c r="T78" s="11">
        <f t="shared" si="54"/>
        <v>72</v>
      </c>
      <c r="U78" s="39"/>
      <c r="V78" s="39"/>
      <c r="W78" s="39">
        <f t="shared" si="55"/>
        <v>7.6608315108961511</v>
      </c>
      <c r="X78" s="39">
        <f t="shared" si="55"/>
        <v>2.1966785894611056</v>
      </c>
      <c r="Y78" s="55">
        <f t="shared" si="59"/>
        <v>18668.246801238976</v>
      </c>
      <c r="Z78" s="50">
        <f t="shared" si="59"/>
        <v>4832.2948636235242</v>
      </c>
      <c r="AA78" s="50">
        <f t="shared" si="59"/>
        <v>2386.5617596337343</v>
      </c>
      <c r="AB78" s="50">
        <f t="shared" si="59"/>
        <v>1171.2815991801442</v>
      </c>
      <c r="AC78" s="50">
        <f>W78*External_Sources!$D$29</f>
        <v>563.72386409712249</v>
      </c>
      <c r="AD78" s="50">
        <f>X78*External_Sources!$D$29</f>
        <v>161.64304630236862</v>
      </c>
      <c r="AE78" s="10">
        <f t="shared" si="56"/>
        <v>91</v>
      </c>
      <c r="AF78" s="107">
        <f t="shared" si="56"/>
        <v>24</v>
      </c>
      <c r="AG78" s="10">
        <f t="shared" si="56"/>
        <v>1759</v>
      </c>
      <c r="AH78" s="11">
        <f t="shared" si="56"/>
        <v>1110</v>
      </c>
      <c r="AI78" s="39"/>
      <c r="AJ78" s="39"/>
      <c r="AK78" s="39">
        <f t="shared" si="57"/>
        <v>53.767818696980015</v>
      </c>
      <c r="AL78" s="39">
        <f t="shared" si="57"/>
        <v>79.949558337159672</v>
      </c>
      <c r="AM78" s="55">
        <f t="shared" si="60"/>
        <v>119194.88216005295</v>
      </c>
      <c r="AN78" s="50">
        <f t="shared" si="60"/>
        <v>77299.645505636145</v>
      </c>
      <c r="AO78" s="75">
        <f t="shared" si="60"/>
        <v>4357.8988198909228</v>
      </c>
      <c r="AP78" s="75">
        <f t="shared" si="60"/>
        <v>9744.1198372318468</v>
      </c>
      <c r="AQ78" s="50">
        <f>AK78*External_Sources!$D$29</f>
        <v>3956.5160096295403</v>
      </c>
      <c r="AR78" s="60">
        <f>AL78*External_Sources!$D$29</f>
        <v>5883.1047118813103</v>
      </c>
    </row>
    <row r="79" spans="1:44" ht="15.75" thickBot="1" x14ac:dyDescent="0.3">
      <c r="A79" s="262"/>
      <c r="B79" s="15" t="s">
        <v>14</v>
      </c>
      <c r="C79" s="16">
        <f>SUM(C72:C78)</f>
        <v>30022</v>
      </c>
      <c r="D79" s="17"/>
      <c r="E79" s="16">
        <f>SUM(E72:E78)</f>
        <v>206330</v>
      </c>
      <c r="F79" s="17"/>
      <c r="G79" s="70">
        <f>IF(C79,E79/C79,"")</f>
        <v>6.8726267403903805</v>
      </c>
      <c r="H79" s="67"/>
      <c r="I79" s="40">
        <f>SQRT(((C76-1)*I76^2+(C77-1)*I77^2+(C78-1)*I78^2)/(C76+C77+C78-3))</f>
        <v>8.214530183144154</v>
      </c>
      <c r="J79" s="40"/>
      <c r="K79" s="74">
        <f>SUM(K72:K78)</f>
        <v>17309025.948210631</v>
      </c>
      <c r="L79" s="57"/>
      <c r="M79" s="77">
        <f>K79/C79</f>
        <v>576.54473213678739</v>
      </c>
      <c r="N79" s="57"/>
      <c r="O79" s="40">
        <f>SQRT(((C76-1)*O76^2+(C77-1)*O77^2+(C78-1)*O78^2)/(C76+C77+C78-3))</f>
        <v>727.0785453007594</v>
      </c>
      <c r="P79" s="206"/>
      <c r="Q79" s="16">
        <f>SUM(Q72:Q78)</f>
        <v>803</v>
      </c>
      <c r="R79" s="108">
        <f>SUM(R72:R78)</f>
        <v>331</v>
      </c>
      <c r="S79" s="16">
        <f>SUM(S72:S78)</f>
        <v>6821</v>
      </c>
      <c r="T79" s="17">
        <f>SUM(T72:T78)</f>
        <v>4887</v>
      </c>
      <c r="U79" s="40"/>
      <c r="V79" s="40"/>
      <c r="W79" s="40">
        <f t="array" ref="W79">SQRT(AVERAGE(W75:W78^2))</f>
        <v>13.833501459625202</v>
      </c>
      <c r="X79" s="40">
        <f t="array" ref="X79">SQRT(AVERAGE(X75:X78^2))</f>
        <v>28.141698381603657</v>
      </c>
      <c r="Y79" s="74">
        <f>SUM(Y72:Y78)</f>
        <v>557200.00704215677</v>
      </c>
      <c r="Z79" s="57">
        <f>SUM(Z72:Z78)</f>
        <v>413419.63149565493</v>
      </c>
      <c r="AA79" s="57">
        <f>SUM(AA72:AA78)</f>
        <v>6380.5970760389928</v>
      </c>
      <c r="AB79" s="57">
        <f>SUM(AB72:AB78)</f>
        <v>7368.6795240858746</v>
      </c>
      <c r="AC79" s="57"/>
      <c r="AD79" s="57"/>
      <c r="AE79" s="16">
        <f>SUM(AE72:AE78)</f>
        <v>1470</v>
      </c>
      <c r="AF79" s="108">
        <f>SUM(AF72:AF78)</f>
        <v>257</v>
      </c>
      <c r="AG79" s="16">
        <f>SUM(AG72:AG78)</f>
        <v>17714</v>
      </c>
      <c r="AH79" s="17">
        <f>SUM(AH72:AH78)</f>
        <v>11376</v>
      </c>
      <c r="AI79" s="40"/>
      <c r="AJ79" s="40"/>
      <c r="AK79" s="40">
        <f t="array" ref="AK79">SQRT(AVERAGE(AK75:AK78^2))</f>
        <v>32.469934226020634</v>
      </c>
      <c r="AL79" s="40">
        <f t="array" ref="AL79">SQRT(AVERAGE(AL75:AL78^2))</f>
        <v>92.508425089446931</v>
      </c>
      <c r="AM79" s="74">
        <f>SUM(AM72:AM78)</f>
        <v>1526339.5492040026</v>
      </c>
      <c r="AN79" s="57">
        <f>SUM(AN72:AN78)</f>
        <v>961651.08370085654</v>
      </c>
      <c r="AO79" s="77">
        <f>SUM(AO72:AO78)</f>
        <v>10482.43507880902</v>
      </c>
      <c r="AP79" s="77">
        <f>SUM(AP72:AP78)</f>
        <v>30860.984651334926</v>
      </c>
      <c r="AQ79" s="57"/>
      <c r="AR79" s="206"/>
    </row>
    <row r="80" spans="1:44" ht="15.75" thickTop="1" x14ac:dyDescent="0.25"/>
    <row r="83" spans="1:44" x14ac:dyDescent="0.25">
      <c r="A83" s="268" t="s">
        <v>52</v>
      </c>
      <c r="B83" s="268"/>
      <c r="C83" s="270" t="s">
        <v>39</v>
      </c>
      <c r="D83" s="272"/>
      <c r="E83" s="264" t="s">
        <v>40</v>
      </c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65"/>
      <c r="Q83" s="264" t="s">
        <v>22</v>
      </c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65"/>
      <c r="AE83" s="264" t="s">
        <v>23</v>
      </c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  <c r="AQ83" s="255"/>
      <c r="AR83" s="265"/>
    </row>
    <row r="84" spans="1:44" x14ac:dyDescent="0.25">
      <c r="A84" s="268"/>
      <c r="B84" s="268"/>
      <c r="C84" s="270"/>
      <c r="D84" s="272"/>
      <c r="E84" s="264" t="s">
        <v>49</v>
      </c>
      <c r="F84" s="255"/>
      <c r="G84" s="255"/>
      <c r="H84" s="255"/>
      <c r="I84" s="255"/>
      <c r="J84" s="265"/>
      <c r="K84" s="264" t="s">
        <v>30</v>
      </c>
      <c r="L84" s="255"/>
      <c r="M84" s="255"/>
      <c r="N84" s="255"/>
      <c r="O84" s="255"/>
      <c r="P84" s="265"/>
      <c r="Q84" s="270" t="s">
        <v>39</v>
      </c>
      <c r="R84" s="271"/>
      <c r="S84" s="264" t="s">
        <v>49</v>
      </c>
      <c r="T84" s="255"/>
      <c r="U84" s="255"/>
      <c r="V84" s="255"/>
      <c r="W84" s="255"/>
      <c r="X84" s="265"/>
      <c r="Y84" s="91" t="s">
        <v>30</v>
      </c>
      <c r="Z84" s="41"/>
      <c r="AA84" s="41"/>
      <c r="AB84" s="41"/>
      <c r="AC84" s="41"/>
      <c r="AD84" s="92"/>
      <c r="AE84" s="270" t="s">
        <v>39</v>
      </c>
      <c r="AF84" s="271"/>
      <c r="AG84" s="91" t="s">
        <v>29</v>
      </c>
      <c r="AH84" s="41"/>
      <c r="AI84" s="41"/>
      <c r="AJ84" s="41"/>
      <c r="AK84" s="41"/>
      <c r="AL84" s="92"/>
      <c r="AM84" s="91" t="s">
        <v>30</v>
      </c>
      <c r="AN84" s="41"/>
      <c r="AO84" s="41"/>
      <c r="AP84" s="41"/>
      <c r="AQ84" s="41"/>
      <c r="AR84" s="92"/>
    </row>
    <row r="85" spans="1:44" x14ac:dyDescent="0.25">
      <c r="A85" s="268"/>
      <c r="B85" s="268"/>
      <c r="C85" s="270"/>
      <c r="D85" s="272"/>
      <c r="E85" s="264" t="s">
        <v>26</v>
      </c>
      <c r="F85" s="265"/>
      <c r="G85" s="264" t="s">
        <v>27</v>
      </c>
      <c r="H85" s="265"/>
      <c r="I85" s="264" t="s">
        <v>28</v>
      </c>
      <c r="J85" s="265"/>
      <c r="K85" s="264" t="s">
        <v>26</v>
      </c>
      <c r="L85" s="265"/>
      <c r="M85" s="264" t="s">
        <v>27</v>
      </c>
      <c r="N85" s="265"/>
      <c r="O85" s="264" t="s">
        <v>28</v>
      </c>
      <c r="P85" s="265"/>
      <c r="Q85" s="270"/>
      <c r="R85" s="271"/>
      <c r="S85" s="264" t="s">
        <v>26</v>
      </c>
      <c r="T85" s="265"/>
      <c r="U85" s="264" t="s">
        <v>27</v>
      </c>
      <c r="V85" s="265"/>
      <c r="W85" s="264" t="s">
        <v>28</v>
      </c>
      <c r="X85" s="265"/>
      <c r="Y85" s="264" t="s">
        <v>26</v>
      </c>
      <c r="Z85" s="265"/>
      <c r="AA85" s="264" t="s">
        <v>27</v>
      </c>
      <c r="AB85" s="265"/>
      <c r="AC85" s="264" t="s">
        <v>28</v>
      </c>
      <c r="AD85" s="265"/>
      <c r="AE85" s="270"/>
      <c r="AF85" s="271"/>
      <c r="AG85" s="264" t="s">
        <v>26</v>
      </c>
      <c r="AH85" s="265"/>
      <c r="AI85" s="264" t="s">
        <v>27</v>
      </c>
      <c r="AJ85" s="265"/>
      <c r="AK85" s="264" t="s">
        <v>28</v>
      </c>
      <c r="AL85" s="265"/>
      <c r="AM85" s="264" t="s">
        <v>26</v>
      </c>
      <c r="AN85" s="265"/>
      <c r="AO85" s="264" t="s">
        <v>27</v>
      </c>
      <c r="AP85" s="265"/>
      <c r="AQ85" s="264" t="s">
        <v>28</v>
      </c>
      <c r="AR85" s="265"/>
    </row>
    <row r="86" spans="1:44" x14ac:dyDescent="0.25">
      <c r="A86" s="6" t="s">
        <v>7</v>
      </c>
      <c r="B86" s="6" t="s">
        <v>8</v>
      </c>
      <c r="C86" s="8" t="s">
        <v>24</v>
      </c>
      <c r="D86" s="6" t="s">
        <v>25</v>
      </c>
      <c r="E86" s="8" t="s">
        <v>24</v>
      </c>
      <c r="F86" s="6" t="s">
        <v>25</v>
      </c>
      <c r="G86" s="8" t="s">
        <v>24</v>
      </c>
      <c r="H86" s="6" t="s">
        <v>25</v>
      </c>
      <c r="I86" s="8" t="s">
        <v>24</v>
      </c>
      <c r="J86" s="6" t="s">
        <v>25</v>
      </c>
      <c r="K86" s="8" t="s">
        <v>24</v>
      </c>
      <c r="L86" s="6" t="s">
        <v>25</v>
      </c>
      <c r="M86" s="8" t="s">
        <v>24</v>
      </c>
      <c r="N86" s="6" t="s">
        <v>25</v>
      </c>
      <c r="O86" s="8" t="s">
        <v>24</v>
      </c>
      <c r="P86" s="6" t="s">
        <v>25</v>
      </c>
      <c r="Q86" s="8" t="s">
        <v>24</v>
      </c>
      <c r="R86" s="53" t="s">
        <v>25</v>
      </c>
      <c r="S86" s="8" t="s">
        <v>24</v>
      </c>
      <c r="T86" s="6" t="s">
        <v>25</v>
      </c>
      <c r="U86" s="8" t="s">
        <v>24</v>
      </c>
      <c r="V86" s="6" t="s">
        <v>25</v>
      </c>
      <c r="W86" s="8" t="s">
        <v>24</v>
      </c>
      <c r="X86" s="6" t="s">
        <v>25</v>
      </c>
      <c r="Y86" s="8" t="s">
        <v>24</v>
      </c>
      <c r="Z86" s="6" t="s">
        <v>25</v>
      </c>
      <c r="AA86" s="8" t="s">
        <v>24</v>
      </c>
      <c r="AB86" s="6" t="s">
        <v>25</v>
      </c>
      <c r="AC86" s="8" t="s">
        <v>24</v>
      </c>
      <c r="AD86" s="6" t="s">
        <v>25</v>
      </c>
      <c r="AE86" s="8" t="s">
        <v>24</v>
      </c>
      <c r="AF86" s="53" t="s">
        <v>25</v>
      </c>
      <c r="AG86" s="8" t="s">
        <v>24</v>
      </c>
      <c r="AH86" s="6" t="s">
        <v>25</v>
      </c>
      <c r="AI86" s="8" t="s">
        <v>24</v>
      </c>
      <c r="AJ86" s="6" t="s">
        <v>25</v>
      </c>
      <c r="AK86" s="8" t="s">
        <v>24</v>
      </c>
      <c r="AL86" s="6" t="s">
        <v>25</v>
      </c>
      <c r="AM86" s="8" t="s">
        <v>24</v>
      </c>
      <c r="AN86" s="6" t="s">
        <v>25</v>
      </c>
      <c r="AO86" s="8" t="s">
        <v>24</v>
      </c>
      <c r="AP86" s="6" t="s">
        <v>25</v>
      </c>
      <c r="AQ86" s="8" t="s">
        <v>24</v>
      </c>
      <c r="AR86" s="53" t="s">
        <v>25</v>
      </c>
    </row>
    <row r="87" spans="1:44" x14ac:dyDescent="0.25">
      <c r="A87" s="260">
        <v>2012</v>
      </c>
      <c r="B87" s="12" t="s">
        <v>0</v>
      </c>
      <c r="C87" s="2"/>
      <c r="D87" s="115"/>
      <c r="E87" s="2"/>
      <c r="F87" s="115"/>
      <c r="G87" s="71"/>
      <c r="H87" s="115"/>
      <c r="I87" s="37"/>
      <c r="J87" s="37"/>
      <c r="K87" s="54"/>
      <c r="L87" s="94"/>
      <c r="M87" s="68"/>
      <c r="N87" s="95"/>
      <c r="O87" s="95"/>
      <c r="P87" s="96"/>
      <c r="Q87" s="2"/>
      <c r="R87" s="102"/>
      <c r="S87" s="115"/>
      <c r="T87" s="115"/>
      <c r="U87" s="37"/>
      <c r="V87" s="37"/>
      <c r="W87" s="37"/>
      <c r="X87" s="37"/>
      <c r="Y87" s="73"/>
      <c r="Z87" s="49"/>
      <c r="AA87" s="69"/>
      <c r="AB87" s="69"/>
      <c r="AC87" s="69"/>
      <c r="AD87" s="69"/>
      <c r="AE87" s="2"/>
      <c r="AF87" s="102"/>
      <c r="AG87" s="90"/>
      <c r="AH87" s="5"/>
      <c r="AI87" s="71"/>
      <c r="AJ87" s="71"/>
      <c r="AK87" s="71"/>
      <c r="AL87" s="71"/>
      <c r="AM87" s="73"/>
      <c r="AN87" s="51"/>
      <c r="AO87" s="68"/>
      <c r="AP87" s="68"/>
      <c r="AQ87" s="68"/>
      <c r="AR87" s="78"/>
    </row>
    <row r="88" spans="1:44" x14ac:dyDescent="0.25">
      <c r="A88" s="261"/>
      <c r="B88" s="5" t="s">
        <v>1</v>
      </c>
      <c r="C88" s="2"/>
      <c r="D88" s="115"/>
      <c r="E88" s="2"/>
      <c r="F88" s="115"/>
      <c r="G88" s="71"/>
      <c r="H88" s="115"/>
      <c r="I88" s="37"/>
      <c r="J88" s="37"/>
      <c r="K88" s="54"/>
      <c r="L88" s="51"/>
      <c r="M88" s="68"/>
      <c r="N88" s="68"/>
      <c r="O88" s="68"/>
      <c r="P88" s="78"/>
      <c r="Q88" s="2"/>
      <c r="R88" s="102"/>
      <c r="S88" s="115"/>
      <c r="T88" s="115"/>
      <c r="U88" s="37"/>
      <c r="V88" s="37"/>
      <c r="W88" s="37"/>
      <c r="X88" s="37"/>
      <c r="Y88" s="54"/>
      <c r="Z88" s="49"/>
      <c r="AA88" s="69"/>
      <c r="AB88" s="69"/>
      <c r="AC88" s="69"/>
      <c r="AD88" s="69"/>
      <c r="AE88" s="2"/>
      <c r="AF88" s="102"/>
      <c r="AG88" s="2"/>
      <c r="AH88" s="5"/>
      <c r="AI88" s="71"/>
      <c r="AJ88" s="71"/>
      <c r="AK88" s="71"/>
      <c r="AL88" s="71"/>
      <c r="AM88" s="54"/>
      <c r="AN88" s="51"/>
      <c r="AO88" s="68"/>
      <c r="AP88" s="68"/>
      <c r="AQ88" s="68"/>
      <c r="AR88" s="78"/>
    </row>
    <row r="89" spans="1:44" x14ac:dyDescent="0.25">
      <c r="A89" s="261"/>
      <c r="B89" s="5" t="s">
        <v>2</v>
      </c>
      <c r="C89" s="2"/>
      <c r="D89" s="115"/>
      <c r="E89" s="2"/>
      <c r="F89" s="115"/>
      <c r="G89" s="71"/>
      <c r="H89" s="115"/>
      <c r="I89" s="37"/>
      <c r="J89" s="37"/>
      <c r="K89" s="54"/>
      <c r="L89" s="51"/>
      <c r="M89" s="68"/>
      <c r="N89" s="68"/>
      <c r="O89" s="68"/>
      <c r="P89" s="78"/>
      <c r="Q89" s="2"/>
      <c r="R89" s="102"/>
      <c r="S89" s="115"/>
      <c r="T89" s="115"/>
      <c r="U89" s="37"/>
      <c r="V89" s="37"/>
      <c r="W89" s="37"/>
      <c r="X89" s="37"/>
      <c r="Y89" s="54"/>
      <c r="Z89" s="49"/>
      <c r="AA89" s="69"/>
      <c r="AB89" s="69"/>
      <c r="AC89" s="69"/>
      <c r="AD89" s="69"/>
      <c r="AE89" s="2"/>
      <c r="AF89" s="102"/>
      <c r="AG89" s="2"/>
      <c r="AH89" s="5"/>
      <c r="AI89" s="71"/>
      <c r="AJ89" s="71"/>
      <c r="AK89" s="71"/>
      <c r="AL89" s="71"/>
      <c r="AM89" s="54"/>
      <c r="AN89" s="51"/>
      <c r="AO89" s="68"/>
      <c r="AP89" s="68"/>
      <c r="AQ89" s="68"/>
      <c r="AR89" s="78"/>
    </row>
    <row r="90" spans="1:44" x14ac:dyDescent="0.25">
      <c r="A90" s="261"/>
      <c r="B90" s="5" t="s">
        <v>3</v>
      </c>
      <c r="C90" s="2"/>
      <c r="D90" s="115"/>
      <c r="E90" s="2">
        <v>25</v>
      </c>
      <c r="F90" s="115"/>
      <c r="G90" s="71" t="str">
        <f>IF(C90,E90/C90,"")</f>
        <v/>
      </c>
      <c r="H90" s="115"/>
      <c r="I90" s="37">
        <v>4.9564772436344997</v>
      </c>
      <c r="J90" s="37"/>
      <c r="K90" s="54"/>
      <c r="L90" s="51"/>
      <c r="M90" s="68"/>
      <c r="N90" s="68"/>
      <c r="O90" s="68"/>
      <c r="P90" s="78"/>
      <c r="Q90" s="2">
        <v>0</v>
      </c>
      <c r="R90" s="102">
        <v>1</v>
      </c>
      <c r="S90" s="115">
        <v>0</v>
      </c>
      <c r="T90" s="115">
        <v>4</v>
      </c>
      <c r="U90" s="37"/>
      <c r="V90" s="37"/>
      <c r="W90" s="37">
        <v>0</v>
      </c>
      <c r="X90" s="37">
        <v>0</v>
      </c>
      <c r="Y90" s="54"/>
      <c r="Z90" s="49"/>
      <c r="AA90" s="69"/>
      <c r="AB90" s="69"/>
      <c r="AC90" s="69"/>
      <c r="AD90" s="69"/>
      <c r="AE90" s="2">
        <v>1</v>
      </c>
      <c r="AF90" s="102">
        <v>1</v>
      </c>
      <c r="AG90" s="2">
        <v>2</v>
      </c>
      <c r="AH90" s="5">
        <v>5</v>
      </c>
      <c r="AI90" s="71"/>
      <c r="AJ90" s="71"/>
      <c r="AK90" s="71">
        <v>0</v>
      </c>
      <c r="AL90" s="71">
        <v>0</v>
      </c>
      <c r="AM90" s="54"/>
      <c r="AN90" s="51"/>
      <c r="AO90" s="68"/>
      <c r="AP90" s="68"/>
      <c r="AQ90" s="68"/>
      <c r="AR90" s="78"/>
    </row>
    <row r="91" spans="1:44" x14ac:dyDescent="0.25">
      <c r="A91" s="261"/>
      <c r="B91" s="5" t="s">
        <v>4</v>
      </c>
      <c r="C91" s="2">
        <v>91</v>
      </c>
      <c r="D91" s="115"/>
      <c r="E91" s="2">
        <v>436</v>
      </c>
      <c r="F91" s="115"/>
      <c r="G91" s="71">
        <f>IF(C91,E91/C91,"")</f>
        <v>4.7912087912087911</v>
      </c>
      <c r="H91" s="115"/>
      <c r="I91" s="37">
        <v>3.4625503879734598</v>
      </c>
      <c r="J91" s="37"/>
      <c r="K91" s="54">
        <f>E91*External_Sources!$D$27</f>
        <v>30144.347595634772</v>
      </c>
      <c r="L91" s="51"/>
      <c r="M91" s="68">
        <f>K91/C91</f>
        <v>331.25656698499751</v>
      </c>
      <c r="N91" s="68"/>
      <c r="O91" s="68"/>
      <c r="P91" s="78"/>
      <c r="Q91" s="2">
        <v>1</v>
      </c>
      <c r="R91" s="102">
        <v>2</v>
      </c>
      <c r="S91" s="115">
        <v>4</v>
      </c>
      <c r="T91" s="115">
        <v>4</v>
      </c>
      <c r="U91" s="37"/>
      <c r="V91" s="37"/>
      <c r="W91" s="37">
        <v>0</v>
      </c>
      <c r="X91" s="37">
        <v>1.4142135623731</v>
      </c>
      <c r="Y91" s="54">
        <f>S91*External_Sources!$D$27</f>
        <v>276.55364766637405</v>
      </c>
      <c r="Z91" s="51">
        <f>T91*External_Sources!$D$27</f>
        <v>276.55364766637405</v>
      </c>
      <c r="AA91" s="68">
        <f>Y91/Q91</f>
        <v>276.55364766637405</v>
      </c>
      <c r="AB91" s="69">
        <f>Z91/R91</f>
        <v>138.27682383318702</v>
      </c>
      <c r="AC91" s="49">
        <f>W91*External_Sources!$D$27</f>
        <v>0</v>
      </c>
      <c r="AD91" s="49">
        <f>X91*External_Sources!$D$27</f>
        <v>97.776479813384498</v>
      </c>
      <c r="AE91" s="2">
        <v>4</v>
      </c>
      <c r="AF91" s="102">
        <v>1</v>
      </c>
      <c r="AG91" s="2">
        <v>15</v>
      </c>
      <c r="AH91" s="5">
        <v>12</v>
      </c>
      <c r="AI91" s="71"/>
      <c r="AJ91" s="71"/>
      <c r="AK91" s="71">
        <v>2.2173557826083501</v>
      </c>
      <c r="AL91" s="71">
        <v>0</v>
      </c>
      <c r="AM91" s="54">
        <f>AG91*External_Sources!$D$27</f>
        <v>1037.0761787489027</v>
      </c>
      <c r="AN91" s="51">
        <f>AH91*External_Sources!$D$27</f>
        <v>829.6609429991222</v>
      </c>
      <c r="AO91" s="68">
        <f>AM91/AE91</f>
        <v>259.26904468722569</v>
      </c>
      <c r="AP91" s="68">
        <f>AN91/AF91</f>
        <v>829.6609429991222</v>
      </c>
      <c r="AQ91" s="51">
        <f>AK91*External_Sources!$D$27</f>
        <v>153.30445746361667</v>
      </c>
      <c r="AR91" s="59">
        <f>AL91*External_Sources!$D$27</f>
        <v>0</v>
      </c>
    </row>
    <row r="92" spans="1:44" x14ac:dyDescent="0.25">
      <c r="A92" s="261"/>
      <c r="B92" s="5" t="s">
        <v>5</v>
      </c>
      <c r="C92" s="2">
        <v>68</v>
      </c>
      <c r="D92" s="115"/>
      <c r="E92" s="2">
        <v>482</v>
      </c>
      <c r="F92" s="115"/>
      <c r="G92" s="71">
        <f>IF(C92,E92/C92,"")</f>
        <v>7.0882352941176467</v>
      </c>
      <c r="H92" s="115"/>
      <c r="I92" s="37">
        <v>5.54421924066739</v>
      </c>
      <c r="J92" s="37"/>
      <c r="K92" s="54">
        <f>E92*External_Sources!$D$28</f>
        <v>47827.51904436358</v>
      </c>
      <c r="L92" s="51"/>
      <c r="M92" s="68">
        <f>K92/C92</f>
        <v>703.34586829946443</v>
      </c>
      <c r="N92" s="68"/>
      <c r="O92" s="68"/>
      <c r="P92" s="78"/>
      <c r="Q92" s="2">
        <v>2</v>
      </c>
      <c r="R92" s="102">
        <v>0</v>
      </c>
      <c r="S92" s="115">
        <v>9</v>
      </c>
      <c r="T92" s="115">
        <v>0</v>
      </c>
      <c r="U92" s="37"/>
      <c r="V92" s="37"/>
      <c r="W92" s="37">
        <v>0.70710678118654802</v>
      </c>
      <c r="X92" s="37">
        <v>0</v>
      </c>
      <c r="Y92" s="54">
        <f>S92*External_Sources!$D$28</f>
        <v>893.04496140927847</v>
      </c>
      <c r="Z92" s="51">
        <f>T92*External_Sources!$D$28</f>
        <v>0</v>
      </c>
      <c r="AA92" s="68">
        <f>Y92/Q92</f>
        <v>446.52248070463924</v>
      </c>
      <c r="AB92" s="208"/>
      <c r="AC92" s="49">
        <f>W92*External_Sources!$D$28</f>
        <v>70.164238679664436</v>
      </c>
      <c r="AD92" s="49">
        <f>X92*External_Sources!$D$28</f>
        <v>0</v>
      </c>
      <c r="AE92" s="2">
        <v>3</v>
      </c>
      <c r="AF92" s="102">
        <v>1</v>
      </c>
      <c r="AG92" s="2">
        <v>34</v>
      </c>
      <c r="AH92" s="5">
        <v>5</v>
      </c>
      <c r="AI92" s="71"/>
      <c r="AJ92" s="71"/>
      <c r="AK92" s="71">
        <v>7.2341781380702397</v>
      </c>
      <c r="AL92" s="71">
        <v>0</v>
      </c>
      <c r="AM92" s="54">
        <f>AG92*External_Sources!$D$28</f>
        <v>3373.7254097683854</v>
      </c>
      <c r="AN92" s="51">
        <f>AH92*External_Sources!$D$28</f>
        <v>496.13608967182137</v>
      </c>
      <c r="AO92" s="68">
        <f>AM92/AE92</f>
        <v>1124.5751365894619</v>
      </c>
      <c r="AP92" s="68">
        <f>AN92/AF92</f>
        <v>496.13608967182137</v>
      </c>
      <c r="AQ92" s="51">
        <f>AK92*External_Sources!$D$28</f>
        <v>717.82737068230927</v>
      </c>
      <c r="AR92" s="59">
        <f>AL92*External_Sources!$D$28</f>
        <v>0</v>
      </c>
    </row>
    <row r="93" spans="1:44" x14ac:dyDescent="0.25">
      <c r="A93" s="261"/>
      <c r="B93" s="6" t="s">
        <v>6</v>
      </c>
      <c r="C93" s="8">
        <v>3</v>
      </c>
      <c r="D93" s="6"/>
      <c r="E93" s="8">
        <v>20</v>
      </c>
      <c r="F93" s="6"/>
      <c r="G93" s="39">
        <f>IF(C93,E93/C93,"")</f>
        <v>6.666666666666667</v>
      </c>
      <c r="H93" s="6"/>
      <c r="I93" s="39">
        <v>2.51661147842358</v>
      </c>
      <c r="J93" s="39"/>
      <c r="K93" s="55">
        <f>E93*External_Sources!$D$29</f>
        <v>1471.7041180068429</v>
      </c>
      <c r="L93" s="50"/>
      <c r="M93" s="68">
        <f>K93/C93</f>
        <v>490.56803933561429</v>
      </c>
      <c r="N93" s="75"/>
      <c r="O93" s="75"/>
      <c r="P93" s="79"/>
      <c r="Q93" s="8">
        <v>0</v>
      </c>
      <c r="R93" s="102">
        <v>0</v>
      </c>
      <c r="S93" s="8">
        <v>0</v>
      </c>
      <c r="T93" s="6">
        <v>0</v>
      </c>
      <c r="U93" s="39"/>
      <c r="V93" s="37"/>
      <c r="W93" s="39">
        <v>0</v>
      </c>
      <c r="X93" s="39">
        <v>0</v>
      </c>
      <c r="Y93" s="55">
        <f>S93*External_Sources!$D$29</f>
        <v>0</v>
      </c>
      <c r="Z93" s="50">
        <f>T93*External_Sources!$D$29</f>
        <v>0</v>
      </c>
      <c r="AA93" s="68"/>
      <c r="AB93" s="69"/>
      <c r="AC93" s="50">
        <f>W93*External_Sources!$D$29</f>
        <v>0</v>
      </c>
      <c r="AD93" s="50">
        <f>X93*External_Sources!$D$29</f>
        <v>0</v>
      </c>
      <c r="AE93" s="8">
        <v>1</v>
      </c>
      <c r="AF93" s="102">
        <v>0</v>
      </c>
      <c r="AG93" s="8">
        <v>7</v>
      </c>
      <c r="AH93" s="6">
        <v>0</v>
      </c>
      <c r="AI93" s="71"/>
      <c r="AJ93" s="71"/>
      <c r="AK93" s="39">
        <v>0</v>
      </c>
      <c r="AL93" s="39">
        <v>0</v>
      </c>
      <c r="AM93" s="55">
        <f>AG93*External_Sources!$D$29</f>
        <v>515.09644130239508</v>
      </c>
      <c r="AN93" s="50"/>
      <c r="AO93" s="68">
        <f>AM93/AE93</f>
        <v>515.09644130239508</v>
      </c>
      <c r="AP93" s="68"/>
      <c r="AQ93" s="50">
        <f>AK93*External_Sources!$D$29</f>
        <v>0</v>
      </c>
      <c r="AR93" s="60">
        <f>AL93*External_Sources!$D$29</f>
        <v>0</v>
      </c>
    </row>
    <row r="94" spans="1:44" ht="15.75" thickBot="1" x14ac:dyDescent="0.3">
      <c r="A94" s="262"/>
      <c r="B94" s="15" t="s">
        <v>14</v>
      </c>
      <c r="C94" s="66">
        <f>SUM(C87:C93)</f>
        <v>162</v>
      </c>
      <c r="D94" s="99"/>
      <c r="E94" s="31">
        <f>SUM(E87:E93)</f>
        <v>963</v>
      </c>
      <c r="F94" s="17"/>
      <c r="G94" s="70">
        <f>IF(C94,E94/C94,"")</f>
        <v>5.9444444444444446</v>
      </c>
      <c r="H94" s="67"/>
      <c r="I94" s="40">
        <f>SQRT(((C91-1)*I91^2+(C92-1)*I92^2+(C93-1)*I93^2)/(C91+C92+C93-3))</f>
        <v>4.451817678330972</v>
      </c>
      <c r="J94" s="40"/>
      <c r="K94" s="74">
        <f>SUM(K87:K93)</f>
        <v>79443.570758005197</v>
      </c>
      <c r="L94" s="57"/>
      <c r="M94" s="77">
        <f>K94/C94</f>
        <v>490.39241208645183</v>
      </c>
      <c r="N94" s="77"/>
      <c r="O94" s="77"/>
      <c r="P94" s="80"/>
      <c r="Q94" s="66">
        <f>SUM(Q87:Q93)</f>
        <v>3</v>
      </c>
      <c r="R94" s="104">
        <f>SUM(R87:R93)</f>
        <v>3</v>
      </c>
      <c r="S94" s="35">
        <f>SUM(S87:S93)</f>
        <v>13</v>
      </c>
      <c r="T94" s="15">
        <f>SUM(T87:T93)</f>
        <v>8</v>
      </c>
      <c r="U94" s="40"/>
      <c r="V94" s="40"/>
      <c r="W94" s="40">
        <f t="array" ref="W94">SQRT(AVERAGE(W90:W93^2))</f>
        <v>0.35355339059327401</v>
      </c>
      <c r="X94" s="40">
        <f t="array" ref="X94">SQRT(AVERAGE(X90:X93^2))</f>
        <v>0.70710678118655002</v>
      </c>
      <c r="Y94" s="74">
        <f>SUM(Y87:Y93)</f>
        <v>1169.5986090756526</v>
      </c>
      <c r="Z94" s="57">
        <f>SUM(Z87:Z93)</f>
        <v>276.55364766637405</v>
      </c>
      <c r="AA94" s="77">
        <f>Y94/Q94</f>
        <v>389.86620302521754</v>
      </c>
      <c r="AB94" s="77">
        <f>Z94/R94</f>
        <v>92.184549222124687</v>
      </c>
      <c r="AC94" s="57"/>
      <c r="AD94" s="57"/>
      <c r="AE94" s="66">
        <f>SUM(AE87:AE93)</f>
        <v>9</v>
      </c>
      <c r="AF94" s="104">
        <f>SUM(AF87:AF93)</f>
        <v>3</v>
      </c>
      <c r="AG94" s="35">
        <f>SUM(AG87:AG93)</f>
        <v>58</v>
      </c>
      <c r="AH94" s="15">
        <f>SUM(AH87:AH93)</f>
        <v>22</v>
      </c>
      <c r="AI94" s="40"/>
      <c r="AJ94" s="40"/>
      <c r="AK94" s="40">
        <f t="array" ref="AK94">SQRT(AVERAGE(AK90:AK93^2))</f>
        <v>3.7831864876053918</v>
      </c>
      <c r="AL94" s="40">
        <f t="array" ref="AL94">SQRT(AVERAGE(AL90:AL93^2))</f>
        <v>0</v>
      </c>
      <c r="AM94" s="74">
        <f>SUM(AM87:AM93)</f>
        <v>4925.898029819683</v>
      </c>
      <c r="AN94" s="57">
        <f>SUM(AN87:AN93)</f>
        <v>1325.7970326709435</v>
      </c>
      <c r="AO94" s="77">
        <f>AM94/AE94</f>
        <v>547.32200331329807</v>
      </c>
      <c r="AP94" s="77">
        <f>AN94/AF94</f>
        <v>441.93234422364782</v>
      </c>
      <c r="AQ94" s="57"/>
      <c r="AR94" s="206"/>
    </row>
    <row r="95" spans="1:44" ht="15.75" thickTop="1" x14ac:dyDescent="0.25">
      <c r="A95" s="263">
        <v>2013</v>
      </c>
      <c r="B95" s="5" t="s">
        <v>0</v>
      </c>
      <c r="C95" s="2"/>
      <c r="D95" s="115"/>
      <c r="E95" s="2"/>
      <c r="F95" s="115"/>
      <c r="G95" s="71"/>
      <c r="H95" s="115"/>
      <c r="I95" s="37"/>
      <c r="J95" s="37"/>
      <c r="K95" s="54"/>
      <c r="L95" s="51"/>
      <c r="M95" s="68"/>
      <c r="N95" s="68"/>
      <c r="O95" s="68"/>
      <c r="P95" s="78"/>
      <c r="Q95" s="2"/>
      <c r="R95" s="102"/>
      <c r="S95" s="115"/>
      <c r="T95" s="115"/>
      <c r="U95" s="37"/>
      <c r="V95" s="37"/>
      <c r="W95" s="37"/>
      <c r="X95" s="37"/>
      <c r="Y95" s="54"/>
      <c r="Z95" s="51"/>
      <c r="AA95" s="68"/>
      <c r="AB95" s="69"/>
      <c r="AC95" s="49"/>
      <c r="AD95" s="49"/>
      <c r="AE95" s="2"/>
      <c r="AF95" s="102"/>
      <c r="AG95" s="2"/>
      <c r="AH95" s="5"/>
      <c r="AI95" s="71"/>
      <c r="AJ95" s="71"/>
      <c r="AK95" s="71"/>
      <c r="AL95" s="71"/>
      <c r="AM95" s="54"/>
      <c r="AN95" s="51"/>
      <c r="AO95" s="68"/>
      <c r="AP95" s="68"/>
      <c r="AQ95" s="51"/>
      <c r="AR95" s="59"/>
    </row>
    <row r="96" spans="1:44" x14ac:dyDescent="0.25">
      <c r="A96" s="261"/>
      <c r="B96" s="5" t="s">
        <v>1</v>
      </c>
      <c r="C96" s="2"/>
      <c r="D96" s="115"/>
      <c r="E96" s="2"/>
      <c r="F96" s="115"/>
      <c r="G96" s="71"/>
      <c r="H96" s="115"/>
      <c r="I96" s="37"/>
      <c r="J96" s="37"/>
      <c r="K96" s="54"/>
      <c r="L96" s="51"/>
      <c r="M96" s="68"/>
      <c r="N96" s="68"/>
      <c r="O96" s="68"/>
      <c r="P96" s="78"/>
      <c r="Q96" s="2"/>
      <c r="R96" s="102"/>
      <c r="S96" s="115"/>
      <c r="T96" s="115"/>
      <c r="U96" s="37"/>
      <c r="V96" s="37"/>
      <c r="W96" s="37"/>
      <c r="X96" s="37"/>
      <c r="Y96" s="54"/>
      <c r="Z96" s="51"/>
      <c r="AA96" s="68"/>
      <c r="AB96" s="69"/>
      <c r="AC96" s="49"/>
      <c r="AD96" s="49"/>
      <c r="AE96" s="2"/>
      <c r="AF96" s="102"/>
      <c r="AG96" s="2"/>
      <c r="AH96" s="5"/>
      <c r="AI96" s="71"/>
      <c r="AJ96" s="71"/>
      <c r="AK96" s="71"/>
      <c r="AL96" s="71"/>
      <c r="AM96" s="54"/>
      <c r="AN96" s="51"/>
      <c r="AO96" s="68"/>
      <c r="AP96" s="68"/>
      <c r="AQ96" s="51"/>
      <c r="AR96" s="59"/>
    </row>
    <row r="97" spans="1:44" x14ac:dyDescent="0.25">
      <c r="A97" s="261"/>
      <c r="B97" s="5" t="s">
        <v>2</v>
      </c>
      <c r="C97" s="2"/>
      <c r="D97" s="115"/>
      <c r="E97" s="2"/>
      <c r="F97" s="115"/>
      <c r="G97" s="71"/>
      <c r="H97" s="115"/>
      <c r="I97" s="37"/>
      <c r="J97" s="37"/>
      <c r="K97" s="54"/>
      <c r="L97" s="51"/>
      <c r="M97" s="68"/>
      <c r="N97" s="68"/>
      <c r="O97" s="68"/>
      <c r="P97" s="78"/>
      <c r="Q97" s="2"/>
      <c r="R97" s="102"/>
      <c r="S97" s="115"/>
      <c r="T97" s="115"/>
      <c r="U97" s="37"/>
      <c r="V97" s="37"/>
      <c r="W97" s="37"/>
      <c r="X97" s="37"/>
      <c r="Y97" s="54"/>
      <c r="Z97" s="51"/>
      <c r="AA97" s="68"/>
      <c r="AB97" s="69"/>
      <c r="AC97" s="49"/>
      <c r="AD97" s="49"/>
      <c r="AE97" s="2"/>
      <c r="AF97" s="102"/>
      <c r="AG97" s="2"/>
      <c r="AH97" s="5"/>
      <c r="AI97" s="71"/>
      <c r="AJ97" s="71"/>
      <c r="AK97" s="71"/>
      <c r="AL97" s="71"/>
      <c r="AM97" s="54"/>
      <c r="AN97" s="51"/>
      <c r="AO97" s="68"/>
      <c r="AP97" s="68"/>
      <c r="AQ97" s="51"/>
      <c r="AR97" s="59"/>
    </row>
    <row r="98" spans="1:44" x14ac:dyDescent="0.25">
      <c r="A98" s="261"/>
      <c r="B98" s="5" t="s">
        <v>3</v>
      </c>
      <c r="C98" s="2">
        <v>18</v>
      </c>
      <c r="D98" s="115"/>
      <c r="E98" s="2">
        <v>91</v>
      </c>
      <c r="F98" s="115"/>
      <c r="G98" s="71">
        <f>IF(C98,E98/C98,"")</f>
        <v>5.0555555555555554</v>
      </c>
      <c r="H98" s="115"/>
      <c r="I98" s="37">
        <v>2.68924267104902</v>
      </c>
      <c r="J98" s="37"/>
      <c r="K98" s="54"/>
      <c r="L98" s="51"/>
      <c r="M98" s="68"/>
      <c r="N98" s="68"/>
      <c r="O98" s="68"/>
      <c r="P98" s="78"/>
      <c r="Q98" s="2">
        <v>1</v>
      </c>
      <c r="R98" s="102">
        <v>0</v>
      </c>
      <c r="S98" s="115">
        <v>7</v>
      </c>
      <c r="T98" s="115">
        <v>0</v>
      </c>
      <c r="U98" s="37"/>
      <c r="V98" s="37"/>
      <c r="W98" s="37">
        <v>0</v>
      </c>
      <c r="X98" s="37">
        <v>0</v>
      </c>
      <c r="Y98" s="54"/>
      <c r="Z98" s="51"/>
      <c r="AA98" s="68"/>
      <c r="AB98" s="69"/>
      <c r="AC98" s="49"/>
      <c r="AD98" s="49"/>
      <c r="AE98" s="2">
        <v>0</v>
      </c>
      <c r="AF98" s="102">
        <v>0</v>
      </c>
      <c r="AG98" s="2">
        <v>0</v>
      </c>
      <c r="AH98" s="5">
        <v>0</v>
      </c>
      <c r="AI98" s="71"/>
      <c r="AJ98" s="71"/>
      <c r="AK98" s="71">
        <v>0</v>
      </c>
      <c r="AL98" s="71">
        <v>0</v>
      </c>
      <c r="AM98" s="54"/>
      <c r="AN98" s="51"/>
      <c r="AO98" s="68"/>
      <c r="AP98" s="68"/>
      <c r="AQ98" s="51"/>
      <c r="AR98" s="59"/>
    </row>
    <row r="99" spans="1:44" x14ac:dyDescent="0.25">
      <c r="A99" s="261"/>
      <c r="B99" s="5" t="s">
        <v>4</v>
      </c>
      <c r="C99" s="2">
        <v>177</v>
      </c>
      <c r="D99" s="115"/>
      <c r="E99" s="2">
        <v>1267</v>
      </c>
      <c r="F99" s="115"/>
      <c r="G99" s="71">
        <f>IF(C99,E99/C99,"")</f>
        <v>7.1581920903954801</v>
      </c>
      <c r="H99" s="115"/>
      <c r="I99" s="37">
        <v>27.240257914681099</v>
      </c>
      <c r="J99" s="37"/>
      <c r="K99" s="54">
        <f>E99*External_Sources!$D$35</f>
        <v>79446.29036773066</v>
      </c>
      <c r="L99" s="51"/>
      <c r="M99" s="68">
        <f>K99/C99</f>
        <v>448.84909812277209</v>
      </c>
      <c r="N99" s="68"/>
      <c r="O99" s="68"/>
      <c r="P99" s="78"/>
      <c r="Q99" s="2">
        <v>6</v>
      </c>
      <c r="R99" s="102">
        <v>2</v>
      </c>
      <c r="S99" s="115">
        <v>26</v>
      </c>
      <c r="T99" s="115">
        <v>22</v>
      </c>
      <c r="U99" s="37"/>
      <c r="V99" s="37"/>
      <c r="W99" s="37">
        <v>2.9439202887759501</v>
      </c>
      <c r="X99" s="37">
        <v>7.0710678118654799</v>
      </c>
      <c r="Y99" s="54">
        <f>S99*External_Sources!$D$35</f>
        <v>1630.3106152809764</v>
      </c>
      <c r="Z99" s="51">
        <f>T99*External_Sources!$D$35</f>
        <v>1379.4935975454416</v>
      </c>
      <c r="AA99" s="68">
        <f>Y99/Q99</f>
        <v>271.71843588016276</v>
      </c>
      <c r="AB99" s="69">
        <f>Z99/R99</f>
        <v>689.74679877272081</v>
      </c>
      <c r="AC99" s="49">
        <f>W99*External_Sources!$D$27</f>
        <v>203.53797357500855</v>
      </c>
      <c r="AD99" s="49">
        <f>X99*External_Sources!$D$27</f>
        <v>488.8823990669211</v>
      </c>
      <c r="AE99" s="2">
        <v>9</v>
      </c>
      <c r="AF99" s="102">
        <v>0</v>
      </c>
      <c r="AG99" s="2">
        <v>34</v>
      </c>
      <c r="AH99" s="5">
        <v>0</v>
      </c>
      <c r="AI99" s="71"/>
      <c r="AJ99" s="71"/>
      <c r="AK99" s="71">
        <v>1.0929064207170001</v>
      </c>
      <c r="AL99" s="71">
        <v>0</v>
      </c>
      <c r="AM99" s="54">
        <f>AG99*External_Sources!$D$35</f>
        <v>2131.9446507520461</v>
      </c>
      <c r="AN99" s="51"/>
      <c r="AO99" s="68">
        <f>AM99/AE99</f>
        <v>236.88273897244957</v>
      </c>
      <c r="AP99" s="68"/>
      <c r="AQ99" s="51">
        <f>AK99*External_Sources!$D$27</f>
        <v>75.561814301821798</v>
      </c>
      <c r="AR99" s="59">
        <f>AL99*External_Sources!$D$27</f>
        <v>0</v>
      </c>
    </row>
    <row r="100" spans="1:44" x14ac:dyDescent="0.25">
      <c r="A100" s="261"/>
      <c r="B100" s="5" t="s">
        <v>5</v>
      </c>
      <c r="C100" s="2">
        <v>185</v>
      </c>
      <c r="D100" s="115"/>
      <c r="E100" s="2">
        <v>1384</v>
      </c>
      <c r="F100" s="115"/>
      <c r="G100" s="71">
        <f>IF(C100,E100/C100,"")</f>
        <v>7.4810810810810811</v>
      </c>
      <c r="H100" s="115"/>
      <c r="I100" s="37">
        <v>5.2823453823046602</v>
      </c>
      <c r="J100" s="37"/>
      <c r="K100" s="54">
        <f>E100*External_Sources!$D$36</f>
        <v>124550.22425216043</v>
      </c>
      <c r="L100" s="51"/>
      <c r="M100" s="68">
        <f>K100/C100</f>
        <v>673.24445541708349</v>
      </c>
      <c r="N100" s="68"/>
      <c r="O100" s="68"/>
      <c r="P100" s="78"/>
      <c r="Q100" s="2">
        <v>5</v>
      </c>
      <c r="R100" s="102">
        <v>3</v>
      </c>
      <c r="S100" s="115">
        <v>44</v>
      </c>
      <c r="T100" s="115">
        <v>34</v>
      </c>
      <c r="U100" s="37"/>
      <c r="V100" s="37"/>
      <c r="W100" s="37">
        <v>7.6615925237511799</v>
      </c>
      <c r="X100" s="37">
        <v>11.015141094572201</v>
      </c>
      <c r="Y100" s="54">
        <f>S100*External_Sources!$D$36</f>
        <v>3959.6892103288001</v>
      </c>
      <c r="Z100" s="51">
        <f>T100*External_Sources!$D$36</f>
        <v>3059.759844344982</v>
      </c>
      <c r="AA100" s="68">
        <f>Y100/Q100</f>
        <v>791.93784206576004</v>
      </c>
      <c r="AB100" s="69">
        <f>Z100/R100</f>
        <v>1019.919948114994</v>
      </c>
      <c r="AC100" s="49">
        <f>W100*External_Sources!$D$28</f>
        <v>760.23851107855432</v>
      </c>
      <c r="AD100" s="49">
        <f>X100*External_Sources!$D$28</f>
        <v>1093.0018059688875</v>
      </c>
      <c r="AE100" s="2">
        <v>9</v>
      </c>
      <c r="AF100" s="102">
        <v>4</v>
      </c>
      <c r="AG100" s="2">
        <v>65</v>
      </c>
      <c r="AH100" s="5">
        <v>45</v>
      </c>
      <c r="AI100" s="71"/>
      <c r="AJ100" s="71"/>
      <c r="AK100" s="71">
        <v>5.1666666666666696</v>
      </c>
      <c r="AL100" s="71">
        <v>9.3229108472979991</v>
      </c>
      <c r="AM100" s="54">
        <f>AG100*External_Sources!$D$36</f>
        <v>5849.540878894818</v>
      </c>
      <c r="AN100" s="51">
        <f>AH100*External_Sources!$D$36</f>
        <v>4049.6821469271817</v>
      </c>
      <c r="AO100" s="68">
        <f>AM100/AE100</f>
        <v>649.94898654386861</v>
      </c>
      <c r="AP100" s="68">
        <f>AN100/AF100</f>
        <v>1012.4205367317954</v>
      </c>
      <c r="AQ100" s="51">
        <f>AK100*External_Sources!$D$28</f>
        <v>512.67395932754903</v>
      </c>
      <c r="AR100" s="59">
        <f>AL100*External_Sources!$D$28</f>
        <v>925.08650642748728</v>
      </c>
    </row>
    <row r="101" spans="1:44" x14ac:dyDescent="0.25">
      <c r="A101" s="261"/>
      <c r="B101" s="6" t="s">
        <v>6</v>
      </c>
      <c r="C101" s="8">
        <v>9</v>
      </c>
      <c r="D101" s="53"/>
      <c r="E101" s="8">
        <v>80</v>
      </c>
      <c r="F101" s="6"/>
      <c r="G101" s="39">
        <f>IF(C101,E101/C101,"")</f>
        <v>8.8888888888888893</v>
      </c>
      <c r="H101" s="6"/>
      <c r="I101" s="39">
        <v>8.3433273405225492</v>
      </c>
      <c r="J101" s="39"/>
      <c r="K101" s="55">
        <f>E101*External_Sources!$D$37</f>
        <v>5338.9776773132617</v>
      </c>
      <c r="L101" s="50"/>
      <c r="M101" s="68">
        <f>K101/C101</f>
        <v>593.21974192369578</v>
      </c>
      <c r="N101" s="75"/>
      <c r="O101" s="75"/>
      <c r="P101" s="79"/>
      <c r="Q101" s="8">
        <v>0</v>
      </c>
      <c r="R101" s="102">
        <v>0</v>
      </c>
      <c r="S101" s="8">
        <v>0</v>
      </c>
      <c r="T101" s="6">
        <v>0</v>
      </c>
      <c r="U101" s="39"/>
      <c r="V101" s="39"/>
      <c r="W101" s="39">
        <v>0</v>
      </c>
      <c r="X101" s="39">
        <v>0</v>
      </c>
      <c r="Y101" s="55">
        <f>S101*External_Sources!$D$37</f>
        <v>0</v>
      </c>
      <c r="Z101" s="50">
        <f>T101*External_Sources!$D$37</f>
        <v>0</v>
      </c>
      <c r="AA101" s="68"/>
      <c r="AB101" s="75"/>
      <c r="AC101" s="50">
        <f>W101*External_Sources!$D$29</f>
        <v>0</v>
      </c>
      <c r="AD101" s="50">
        <f>X101*External_Sources!$D$29</f>
        <v>0</v>
      </c>
      <c r="AE101" s="8">
        <v>1</v>
      </c>
      <c r="AF101" s="102">
        <v>0</v>
      </c>
      <c r="AG101" s="8">
        <v>6</v>
      </c>
      <c r="AH101" s="6">
        <v>0</v>
      </c>
      <c r="AI101" s="39"/>
      <c r="AJ101" s="39"/>
      <c r="AK101" s="39">
        <v>0</v>
      </c>
      <c r="AL101" s="39">
        <v>0</v>
      </c>
      <c r="AM101" s="55">
        <f>AG101*External_Sources!$D$37</f>
        <v>400.42332579849466</v>
      </c>
      <c r="AN101" s="50"/>
      <c r="AO101" s="68">
        <f>AM101/AE101</f>
        <v>400.42332579849466</v>
      </c>
      <c r="AP101" s="75"/>
      <c r="AQ101" s="50">
        <f>AK101*External_Sources!$D$29</f>
        <v>0</v>
      </c>
      <c r="AR101" s="60">
        <f>AL101*External_Sources!$D$29</f>
        <v>0</v>
      </c>
    </row>
    <row r="102" spans="1:44" ht="15.75" thickBot="1" x14ac:dyDescent="0.3">
      <c r="A102" s="262"/>
      <c r="B102" s="15" t="s">
        <v>14</v>
      </c>
      <c r="C102" s="66">
        <f>SUM(C95:C101)</f>
        <v>389</v>
      </c>
      <c r="D102" s="99"/>
      <c r="E102" s="16">
        <f>SUM(E95:E101)</f>
        <v>2822</v>
      </c>
      <c r="F102" s="17"/>
      <c r="G102" s="70">
        <f>IF(C102,E102/C102,"")</f>
        <v>7.2544987146529563</v>
      </c>
      <c r="H102" s="67"/>
      <c r="I102" s="40">
        <f>SQRT(((C99-1)*I99^2+(C100-1)*I100^2+(C101-1)*I101^2)/(C99+C100+C101-3))</f>
        <v>19.244468664238642</v>
      </c>
      <c r="J102" s="40"/>
      <c r="K102" s="74">
        <f>SUM(K95:K101)</f>
        <v>209335.49229720436</v>
      </c>
      <c r="L102" s="57"/>
      <c r="M102" s="77">
        <f>K102/C102</f>
        <v>538.13751233214487</v>
      </c>
      <c r="N102" s="77"/>
      <c r="O102" s="77"/>
      <c r="P102" s="80"/>
      <c r="Q102" s="66">
        <f>SUM(Q95:Q101)</f>
        <v>12</v>
      </c>
      <c r="R102" s="104">
        <f>SUM(R95:R101)</f>
        <v>5</v>
      </c>
      <c r="S102" s="35">
        <f>SUM(S95:S101)</f>
        <v>77</v>
      </c>
      <c r="T102" s="15">
        <f>SUM(T95:T101)</f>
        <v>56</v>
      </c>
      <c r="U102" s="40"/>
      <c r="V102" s="40"/>
      <c r="W102" s="40">
        <f t="array" ref="W102">SQRT(AVERAGE(W98:W101^2))</f>
        <v>4.1038599716202135</v>
      </c>
      <c r="X102" s="40">
        <f t="array" ref="X102">SQRT(AVERAGE(X98:X101^2))</f>
        <v>6.5447179720239532</v>
      </c>
      <c r="Y102" s="74">
        <f>SUM(Y95:Y101)</f>
        <v>5589.999825609777</v>
      </c>
      <c r="Z102" s="57">
        <f>SUM(Z95:Z101)</f>
        <v>4439.2534418904233</v>
      </c>
      <c r="AA102" s="77">
        <f>Y102/Q102</f>
        <v>465.83331880081477</v>
      </c>
      <c r="AB102" s="77">
        <f>Z102/R102</f>
        <v>887.85068837808467</v>
      </c>
      <c r="AC102" s="57"/>
      <c r="AD102" s="57"/>
      <c r="AE102" s="66">
        <f>SUM(AE95:AE101)</f>
        <v>19</v>
      </c>
      <c r="AF102" s="104">
        <f>SUM(AF95:AF101)</f>
        <v>4</v>
      </c>
      <c r="AG102" s="35">
        <f>SUM(AG95:AG101)</f>
        <v>105</v>
      </c>
      <c r="AH102" s="15">
        <f>SUM(AH95:AH101)</f>
        <v>45</v>
      </c>
      <c r="AI102" s="40"/>
      <c r="AJ102" s="40"/>
      <c r="AK102" s="40">
        <f t="array" ref="AK102">SQRT(AVERAGE(AK98:AK101^2))</f>
        <v>2.6404965862924779</v>
      </c>
      <c r="AL102" s="40">
        <f t="array" ref="AL102">SQRT(AVERAGE(AL98:AL101^2))</f>
        <v>4.6614554236489996</v>
      </c>
      <c r="AM102" s="74">
        <f>SUM(AM95:AM101)</f>
        <v>8381.9088554453592</v>
      </c>
      <c r="AN102" s="57">
        <f>SUM(AN95:AN101)</f>
        <v>4049.6821469271817</v>
      </c>
      <c r="AO102" s="77">
        <f>AM102/AE102</f>
        <v>441.15309765501888</v>
      </c>
      <c r="AP102" s="77">
        <f>AN102/AF102</f>
        <v>1012.4205367317954</v>
      </c>
      <c r="AQ102" s="57"/>
      <c r="AR102" s="206"/>
    </row>
    <row r="103" spans="1:44" ht="15.75" thickTop="1" x14ac:dyDescent="0.25">
      <c r="A103" s="263">
        <v>2014</v>
      </c>
      <c r="B103" s="5" t="s">
        <v>0</v>
      </c>
      <c r="C103" s="2"/>
      <c r="D103" s="115"/>
      <c r="E103" s="2"/>
      <c r="F103" s="115"/>
      <c r="G103" s="71"/>
      <c r="H103" s="115"/>
      <c r="I103" s="37"/>
      <c r="J103" s="37"/>
      <c r="K103" s="54"/>
      <c r="L103" s="51"/>
      <c r="M103" s="68"/>
      <c r="N103" s="68"/>
      <c r="O103" s="68"/>
      <c r="P103" s="78"/>
      <c r="Q103" s="2"/>
      <c r="R103" s="102"/>
      <c r="S103" s="115"/>
      <c r="T103" s="115"/>
      <c r="U103" s="37"/>
      <c r="V103" s="37"/>
      <c r="W103" s="37"/>
      <c r="X103" s="37"/>
      <c r="Y103" s="54"/>
      <c r="Z103" s="51"/>
      <c r="AA103" s="68"/>
      <c r="AB103" s="69"/>
      <c r="AC103" s="49"/>
      <c r="AD103" s="49"/>
      <c r="AE103" s="2"/>
      <c r="AF103" s="102"/>
      <c r="AG103" s="2"/>
      <c r="AH103" s="5"/>
      <c r="AI103" s="71"/>
      <c r="AJ103" s="71"/>
      <c r="AK103" s="71"/>
      <c r="AL103" s="71"/>
      <c r="AM103" s="54"/>
      <c r="AN103" s="51"/>
      <c r="AO103" s="68"/>
      <c r="AP103" s="68"/>
      <c r="AQ103" s="51"/>
      <c r="AR103" s="59"/>
    </row>
    <row r="104" spans="1:44" x14ac:dyDescent="0.25">
      <c r="A104" s="261"/>
      <c r="B104" s="5" t="s">
        <v>1</v>
      </c>
      <c r="C104" s="2"/>
      <c r="D104" s="115"/>
      <c r="E104" s="2"/>
      <c r="F104" s="115"/>
      <c r="G104" s="71"/>
      <c r="H104" s="115"/>
      <c r="I104" s="37"/>
      <c r="J104" s="37"/>
      <c r="K104" s="54"/>
      <c r="L104" s="51"/>
      <c r="M104" s="68"/>
      <c r="N104" s="68"/>
      <c r="O104" s="68"/>
      <c r="P104" s="78"/>
      <c r="Q104" s="2"/>
      <c r="R104" s="102"/>
      <c r="S104" s="115"/>
      <c r="T104" s="115"/>
      <c r="U104" s="37"/>
      <c r="V104" s="37"/>
      <c r="W104" s="37"/>
      <c r="X104" s="37"/>
      <c r="Y104" s="54"/>
      <c r="Z104" s="51"/>
      <c r="AA104" s="68"/>
      <c r="AB104" s="69"/>
      <c r="AC104" s="49"/>
      <c r="AD104" s="49"/>
      <c r="AE104" s="2"/>
      <c r="AF104" s="102"/>
      <c r="AG104" s="2"/>
      <c r="AH104" s="5"/>
      <c r="AI104" s="71"/>
      <c r="AJ104" s="71"/>
      <c r="AK104" s="71"/>
      <c r="AL104" s="71"/>
      <c r="AM104" s="54"/>
      <c r="AN104" s="51"/>
      <c r="AO104" s="68"/>
      <c r="AP104" s="68"/>
      <c r="AQ104" s="51"/>
      <c r="AR104" s="59"/>
    </row>
    <row r="105" spans="1:44" x14ac:dyDescent="0.25">
      <c r="A105" s="261"/>
      <c r="B105" s="5" t="s">
        <v>2</v>
      </c>
      <c r="C105" s="2"/>
      <c r="D105" s="115"/>
      <c r="E105" s="2"/>
      <c r="F105" s="115"/>
      <c r="G105" s="71"/>
      <c r="H105" s="115"/>
      <c r="I105" s="37"/>
      <c r="J105" s="37"/>
      <c r="K105" s="54"/>
      <c r="L105" s="51"/>
      <c r="M105" s="68"/>
      <c r="N105" s="68"/>
      <c r="O105" s="68"/>
      <c r="P105" s="78"/>
      <c r="Q105" s="2"/>
      <c r="R105" s="102"/>
      <c r="S105" s="115"/>
      <c r="T105" s="115"/>
      <c r="U105" s="37"/>
      <c r="V105" s="37"/>
      <c r="W105" s="37"/>
      <c r="X105" s="37"/>
      <c r="Y105" s="54"/>
      <c r="Z105" s="51"/>
      <c r="AA105" s="68"/>
      <c r="AB105" s="69"/>
      <c r="AC105" s="49"/>
      <c r="AD105" s="49"/>
      <c r="AE105" s="2"/>
      <c r="AF105" s="102"/>
      <c r="AG105" s="2"/>
      <c r="AH105" s="5"/>
      <c r="AI105" s="71"/>
      <c r="AJ105" s="71"/>
      <c r="AK105" s="71"/>
      <c r="AL105" s="71"/>
      <c r="AM105" s="54"/>
      <c r="AN105" s="51"/>
      <c r="AO105" s="68"/>
      <c r="AP105" s="68"/>
      <c r="AQ105" s="51"/>
      <c r="AR105" s="59"/>
    </row>
    <row r="106" spans="1:44" x14ac:dyDescent="0.25">
      <c r="A106" s="261"/>
      <c r="B106" s="5" t="s">
        <v>3</v>
      </c>
      <c r="C106" s="2">
        <v>12</v>
      </c>
      <c r="D106" s="115"/>
      <c r="E106" s="2">
        <v>44</v>
      </c>
      <c r="F106" s="115"/>
      <c r="G106" s="71">
        <f t="shared" ref="G106:G111" si="61">IF(C106,E106/C106,"")</f>
        <v>3.6666666666666665</v>
      </c>
      <c r="H106" s="115"/>
      <c r="I106" s="37">
        <v>2.4618298195866499</v>
      </c>
      <c r="J106" s="37"/>
      <c r="K106" s="54"/>
      <c r="L106" s="51"/>
      <c r="M106" s="68"/>
      <c r="N106" s="68"/>
      <c r="O106" s="68"/>
      <c r="P106" s="78"/>
      <c r="Q106" s="2">
        <v>0</v>
      </c>
      <c r="R106" s="102">
        <v>0</v>
      </c>
      <c r="S106" s="115">
        <v>0</v>
      </c>
      <c r="T106" s="115">
        <v>0</v>
      </c>
      <c r="U106" s="37"/>
      <c r="V106" s="37"/>
      <c r="W106" s="37">
        <v>0</v>
      </c>
      <c r="X106" s="37">
        <v>0</v>
      </c>
      <c r="Y106" s="54"/>
      <c r="Z106" s="51"/>
      <c r="AA106" s="68"/>
      <c r="AB106" s="69"/>
      <c r="AC106" s="49"/>
      <c r="AD106" s="49"/>
      <c r="AE106" s="2">
        <v>0</v>
      </c>
      <c r="AF106" s="102">
        <v>0</v>
      </c>
      <c r="AG106" s="2">
        <v>0</v>
      </c>
      <c r="AH106" s="5">
        <v>0</v>
      </c>
      <c r="AI106" s="71"/>
      <c r="AJ106" s="71"/>
      <c r="AK106" s="71">
        <v>0</v>
      </c>
      <c r="AL106" s="71">
        <v>0</v>
      </c>
      <c r="AM106" s="54"/>
      <c r="AN106" s="51"/>
      <c r="AO106" s="68"/>
      <c r="AP106" s="68"/>
      <c r="AQ106" s="51"/>
      <c r="AR106" s="59"/>
    </row>
    <row r="107" spans="1:44" x14ac:dyDescent="0.25">
      <c r="A107" s="261"/>
      <c r="B107" s="5" t="s">
        <v>4</v>
      </c>
      <c r="C107" s="2">
        <v>99</v>
      </c>
      <c r="D107" s="115"/>
      <c r="E107" s="2">
        <v>455</v>
      </c>
      <c r="F107" s="115"/>
      <c r="G107" s="71">
        <f t="shared" si="61"/>
        <v>4.595959595959596</v>
      </c>
      <c r="H107" s="115"/>
      <c r="I107" s="37">
        <v>3.3225242184255501</v>
      </c>
      <c r="J107" s="37"/>
      <c r="K107" s="54">
        <f>E107*External_Sources!$D$43</f>
        <v>29100.811676272016</v>
      </c>
      <c r="L107" s="51"/>
      <c r="M107" s="68">
        <f>K107/C107</f>
        <v>293.94759268961633</v>
      </c>
      <c r="N107" s="68"/>
      <c r="O107" s="68"/>
      <c r="P107" s="78"/>
      <c r="Q107" s="2">
        <v>1</v>
      </c>
      <c r="R107" s="102">
        <v>4</v>
      </c>
      <c r="S107" s="115">
        <v>2</v>
      </c>
      <c r="T107" s="115">
        <v>19</v>
      </c>
      <c r="U107" s="37"/>
      <c r="V107" s="37"/>
      <c r="W107" s="37">
        <v>0</v>
      </c>
      <c r="X107" s="37">
        <v>1.8929694486000901</v>
      </c>
      <c r="Y107" s="54">
        <f>S107*External_Sources!$D$43</f>
        <v>127.91565571987699</v>
      </c>
      <c r="Z107" s="51">
        <f>T107*External_Sources!$D$43</f>
        <v>1215.1987293388315</v>
      </c>
      <c r="AA107" s="68">
        <f>Y107/Q107</f>
        <v>127.91565571987699</v>
      </c>
      <c r="AB107" s="69">
        <f>Z107/R107</f>
        <v>303.79968233470788</v>
      </c>
      <c r="AC107" s="49">
        <f>W107*External_Sources!$D$27</f>
        <v>0</v>
      </c>
      <c r="AD107" s="49">
        <f>X107*External_Sources!$D$27</f>
        <v>130.87690148283991</v>
      </c>
      <c r="AE107" s="2">
        <v>1</v>
      </c>
      <c r="AF107" s="102">
        <v>0</v>
      </c>
      <c r="AG107" s="2">
        <v>77</v>
      </c>
      <c r="AH107" s="5">
        <v>0</v>
      </c>
      <c r="AI107" s="71"/>
      <c r="AJ107" s="71"/>
      <c r="AK107" s="71">
        <v>0</v>
      </c>
      <c r="AL107" s="71">
        <v>0</v>
      </c>
      <c r="AM107" s="54">
        <f>AG107*External_Sources!$D$43</f>
        <v>4924.7527452152644</v>
      </c>
      <c r="AN107" s="51"/>
      <c r="AO107" s="68">
        <f>AM107/AE107</f>
        <v>4924.7527452152644</v>
      </c>
      <c r="AP107" s="68"/>
      <c r="AQ107" s="51">
        <f>AK107*External_Sources!$D$27</f>
        <v>0</v>
      </c>
      <c r="AR107" s="59">
        <f>AL107*External_Sources!$D$27</f>
        <v>0</v>
      </c>
    </row>
    <row r="108" spans="1:44" x14ac:dyDescent="0.25">
      <c r="A108" s="261"/>
      <c r="B108" s="5" t="s">
        <v>5</v>
      </c>
      <c r="C108" s="2">
        <v>61</v>
      </c>
      <c r="D108" s="115"/>
      <c r="E108" s="2">
        <v>384</v>
      </c>
      <c r="F108" s="115"/>
      <c r="G108" s="71">
        <f t="shared" si="61"/>
        <v>6.2950819672131146</v>
      </c>
      <c r="H108" s="115"/>
      <c r="I108" s="37">
        <v>7.5704342946647403</v>
      </c>
      <c r="J108" s="37"/>
      <c r="K108" s="54">
        <f>E108*External_Sources!$D$44</f>
        <v>35248.151421642819</v>
      </c>
      <c r="L108" s="51"/>
      <c r="M108" s="68">
        <f>K108/C108</f>
        <v>577.8385478957839</v>
      </c>
      <c r="N108" s="68"/>
      <c r="O108" s="68"/>
      <c r="P108" s="78"/>
      <c r="Q108" s="2">
        <v>4</v>
      </c>
      <c r="R108" s="102">
        <v>0</v>
      </c>
      <c r="S108" s="115">
        <v>44</v>
      </c>
      <c r="T108" s="115">
        <v>0</v>
      </c>
      <c r="U108" s="37"/>
      <c r="V108" s="37"/>
      <c r="W108" s="37">
        <v>1.82574185835055</v>
      </c>
      <c r="X108" s="37">
        <v>0</v>
      </c>
      <c r="Y108" s="54">
        <f>S108*External_Sources!$D$44</f>
        <v>4038.850683729906</v>
      </c>
      <c r="Z108" s="51">
        <f>T108*External_Sources!$D$44</f>
        <v>0</v>
      </c>
      <c r="AA108" s="68">
        <f>Y108/Q108</f>
        <v>1009.7126709324765</v>
      </c>
      <c r="AB108" s="69"/>
      <c r="AC108" s="49">
        <f>W108*External_Sources!$D$28</f>
        <v>181.16328527044126</v>
      </c>
      <c r="AD108" s="49">
        <f>X108*External_Sources!$D$28</f>
        <v>0</v>
      </c>
      <c r="AE108" s="2">
        <v>3</v>
      </c>
      <c r="AF108" s="102">
        <v>2</v>
      </c>
      <c r="AG108" s="2">
        <v>29</v>
      </c>
      <c r="AH108" s="5">
        <v>20</v>
      </c>
      <c r="AI108" s="71"/>
      <c r="AJ108" s="71"/>
      <c r="AK108" s="71">
        <v>2.08166599946613</v>
      </c>
      <c r="AL108" s="71">
        <v>11.3137084989848</v>
      </c>
      <c r="AM108" s="54">
        <f>AG108*External_Sources!$D$44</f>
        <v>2661.9697688219835</v>
      </c>
      <c r="AN108" s="51">
        <f>AH108*External_Sources!$D$44</f>
        <v>1835.8412198772298</v>
      </c>
      <c r="AO108" s="68">
        <f>AM108/AE108</f>
        <v>887.3232562739945</v>
      </c>
      <c r="AP108" s="68">
        <f>AN108/AF108</f>
        <v>917.92060993861492</v>
      </c>
      <c r="AQ108" s="51">
        <f>AK108*External_Sources!$D$28</f>
        <v>206.55792579558189</v>
      </c>
      <c r="AR108" s="59">
        <f>AL108*External_Sources!$D$28</f>
        <v>1122.6278188746342</v>
      </c>
    </row>
    <row r="109" spans="1:44" x14ac:dyDescent="0.25">
      <c r="A109" s="261"/>
      <c r="B109" s="6" t="s">
        <v>6</v>
      </c>
      <c r="C109" s="8">
        <v>9</v>
      </c>
      <c r="D109" s="53"/>
      <c r="E109" s="8">
        <v>51</v>
      </c>
      <c r="F109" s="6"/>
      <c r="G109" s="39">
        <f t="shared" si="61"/>
        <v>5.666666666666667</v>
      </c>
      <c r="H109" s="6"/>
      <c r="I109" s="39">
        <v>2.7386127875258302</v>
      </c>
      <c r="J109" s="39"/>
      <c r="K109" s="55">
        <f>E109*External_Sources!$D$45</f>
        <v>3471.6424615332558</v>
      </c>
      <c r="L109" s="50"/>
      <c r="M109" s="68">
        <f>K109/C109</f>
        <v>385.73805128147285</v>
      </c>
      <c r="N109" s="75"/>
      <c r="O109" s="75"/>
      <c r="P109" s="79"/>
      <c r="Q109" s="8">
        <v>0</v>
      </c>
      <c r="R109" s="102">
        <v>0</v>
      </c>
      <c r="S109" s="8">
        <v>0</v>
      </c>
      <c r="T109" s="6">
        <v>0</v>
      </c>
      <c r="U109" s="39"/>
      <c r="V109" s="39"/>
      <c r="W109" s="39">
        <v>0</v>
      </c>
      <c r="X109" s="39">
        <v>0</v>
      </c>
      <c r="Y109" s="55">
        <f>S109*External_Sources!$D$45</f>
        <v>0</v>
      </c>
      <c r="Z109" s="50">
        <f>T109*External_Sources!$D$45</f>
        <v>0</v>
      </c>
      <c r="AA109" s="68"/>
      <c r="AB109" s="75"/>
      <c r="AC109" s="50">
        <f>W109*External_Sources!$D$29</f>
        <v>0</v>
      </c>
      <c r="AD109" s="50">
        <f>X109*External_Sources!$D$29</f>
        <v>0</v>
      </c>
      <c r="AE109" s="8">
        <v>0</v>
      </c>
      <c r="AF109" s="102">
        <v>1</v>
      </c>
      <c r="AG109" s="8">
        <v>0</v>
      </c>
      <c r="AH109" s="6">
        <v>14</v>
      </c>
      <c r="AI109" s="39"/>
      <c r="AJ109" s="39"/>
      <c r="AK109" s="39">
        <v>0</v>
      </c>
      <c r="AL109" s="39">
        <v>0</v>
      </c>
      <c r="AM109" s="55"/>
      <c r="AN109" s="50">
        <f>AH109*External_Sources!$D$45</f>
        <v>952.99989140128582</v>
      </c>
      <c r="AO109" s="68"/>
      <c r="AP109" s="75">
        <f>AN109/AF109</f>
        <v>952.99989140128582</v>
      </c>
      <c r="AQ109" s="50">
        <f>AK109*External_Sources!$D$29</f>
        <v>0</v>
      </c>
      <c r="AR109" s="60">
        <f>AL109*External_Sources!$D$29</f>
        <v>0</v>
      </c>
    </row>
    <row r="110" spans="1:44" ht="15.75" thickBot="1" x14ac:dyDescent="0.3">
      <c r="A110" s="262"/>
      <c r="B110" s="15" t="s">
        <v>14</v>
      </c>
      <c r="C110" s="66">
        <f>SUM(C103:C109)</f>
        <v>181</v>
      </c>
      <c r="D110" s="99"/>
      <c r="E110" s="16">
        <f>SUM(E103:E109)</f>
        <v>934</v>
      </c>
      <c r="F110" s="17"/>
      <c r="G110" s="70">
        <f t="shared" si="61"/>
        <v>5.1602209944751385</v>
      </c>
      <c r="H110" s="67"/>
      <c r="I110" s="40">
        <f>SQRT(((C107-1)*I107^2+(C108-1)*I108^2+(C109-1)*I109^2)/(C107+C108+C109-3))</f>
        <v>5.2529549391692898</v>
      </c>
      <c r="J110" s="40"/>
      <c r="K110" s="74">
        <f>SUM(K103:K109)</f>
        <v>67820.605559448086</v>
      </c>
      <c r="L110" s="57"/>
      <c r="M110" s="77">
        <f>K110/C110</f>
        <v>374.69947822899496</v>
      </c>
      <c r="N110" s="77"/>
      <c r="O110" s="77"/>
      <c r="P110" s="80"/>
      <c r="Q110" s="66">
        <f>SUM(Q103:Q109)</f>
        <v>5</v>
      </c>
      <c r="R110" s="104">
        <f>SUM(R103:R109)</f>
        <v>4</v>
      </c>
      <c r="S110" s="35">
        <f>SUM(S103:S109)</f>
        <v>46</v>
      </c>
      <c r="T110" s="15">
        <f>SUM(T103:T109)</f>
        <v>19</v>
      </c>
      <c r="U110" s="40"/>
      <c r="V110" s="40"/>
      <c r="W110" s="40">
        <f t="array" ref="W110">SQRT(AVERAGE(W106:W109^2))</f>
        <v>0.91287092917527501</v>
      </c>
      <c r="X110" s="40">
        <f t="array" ref="X110">SQRT(AVERAGE(X106:X109^2))</f>
        <v>0.94648472430004504</v>
      </c>
      <c r="Y110" s="74">
        <f>SUM(Y103:Y109)</f>
        <v>4166.7663394497831</v>
      </c>
      <c r="Z110" s="57">
        <f>SUM(Z103:Z109)</f>
        <v>1215.1987293388315</v>
      </c>
      <c r="AA110" s="77">
        <f>Y110/Q110</f>
        <v>833.35326788995667</v>
      </c>
      <c r="AB110" s="77">
        <f>Z110/R110</f>
        <v>303.79968233470788</v>
      </c>
      <c r="AC110" s="57"/>
      <c r="AD110" s="57"/>
      <c r="AE110" s="66">
        <f>SUM(AE103:AE109)</f>
        <v>4</v>
      </c>
      <c r="AF110" s="104">
        <f>SUM(AF103:AF109)</f>
        <v>3</v>
      </c>
      <c r="AG110" s="35">
        <f>SUM(AG103:AG109)</f>
        <v>106</v>
      </c>
      <c r="AH110" s="15">
        <f>SUM(AH103:AH109)</f>
        <v>34</v>
      </c>
      <c r="AI110" s="40"/>
      <c r="AJ110" s="40"/>
      <c r="AK110" s="40">
        <f t="array" ref="AK110">SQRT(AVERAGE(AK106:AK109^2))</f>
        <v>1.040832999733065</v>
      </c>
      <c r="AL110" s="40">
        <f t="array" ref="AL110">SQRT(AVERAGE(AL106:AL109^2))</f>
        <v>5.6568542494924001</v>
      </c>
      <c r="AM110" s="74">
        <f>SUM(AM103:AM109)</f>
        <v>7586.7225140372484</v>
      </c>
      <c r="AN110" s="57">
        <f>SUM(AN103:AN109)</f>
        <v>2788.8411112785157</v>
      </c>
      <c r="AO110" s="77">
        <f>AM110/AE110</f>
        <v>1896.6806285093121</v>
      </c>
      <c r="AP110" s="77">
        <f>AN110/AF110</f>
        <v>929.61370375950526</v>
      </c>
      <c r="AQ110" s="57"/>
      <c r="AR110" s="206"/>
    </row>
    <row r="111" spans="1:44" ht="16.5" thickTop="1" thickBot="1" x14ac:dyDescent="0.3">
      <c r="A111" s="259" t="s">
        <v>14</v>
      </c>
      <c r="B111" s="259"/>
      <c r="C111" s="101">
        <f>SUM(C94,C102,C110)</f>
        <v>732</v>
      </c>
      <c r="D111" s="100"/>
      <c r="E111" s="81">
        <f>SUM(E110,E102,E94)</f>
        <v>4719</v>
      </c>
      <c r="F111" s="82"/>
      <c r="G111" s="83">
        <f t="shared" si="61"/>
        <v>6.4467213114754101</v>
      </c>
      <c r="H111" s="111"/>
      <c r="I111" s="83">
        <f>SQRT((I94^2*(C94-1)+I102^2*(C102-1)+I110^2*(C110-1))/(C94+C102+C110-3))</f>
        <v>14.43272453156129</v>
      </c>
      <c r="J111" s="83"/>
      <c r="K111" s="84">
        <f>K94+K102+K110</f>
        <v>356599.66861465765</v>
      </c>
      <c r="L111" s="85"/>
      <c r="M111" s="85">
        <f>M94+M102+M110</f>
        <v>1403.2294026475915</v>
      </c>
      <c r="N111" s="86"/>
      <c r="O111" s="86"/>
      <c r="P111" s="97"/>
      <c r="Q111" s="101">
        <f>SUM(Q94,Q102,Q110)</f>
        <v>20</v>
      </c>
      <c r="R111" s="100">
        <f>SUM(R94,R102,R110)</f>
        <v>12</v>
      </c>
      <c r="S111" s="81">
        <f>SUM(S110,S102,S94)</f>
        <v>136</v>
      </c>
      <c r="T111" s="82">
        <f>SUM(T110,T102,T94)</f>
        <v>83</v>
      </c>
      <c r="U111" s="83"/>
      <c r="V111" s="83"/>
      <c r="W111" s="83">
        <f>SQRT(AVERAGE(W94^2,W102^2,W110^2))</f>
        <v>2.4358434541926806</v>
      </c>
      <c r="X111" s="83">
        <f>SQRT(AVERAGE(X94^2,X102^2,X110^2))</f>
        <v>3.8396686778360909</v>
      </c>
      <c r="Y111" s="84">
        <f>Y94+Y102+Y110</f>
        <v>10926.364774135212</v>
      </c>
      <c r="Z111" s="85">
        <f>Z94+Z102+Z110</f>
        <v>5931.0058188956282</v>
      </c>
      <c r="AA111" s="85">
        <f>AA94+AA102+AA110</f>
        <v>1689.0527897159891</v>
      </c>
      <c r="AB111" s="86">
        <f>AB94+AB102+AB110</f>
        <v>1283.8349199349173</v>
      </c>
      <c r="AC111" s="85"/>
      <c r="AD111" s="85"/>
      <c r="AE111" s="101">
        <f>SUM(AE94,AE102,AE110)</f>
        <v>32</v>
      </c>
      <c r="AF111" s="100">
        <f>SUM(AF94,AF102,AF110)</f>
        <v>10</v>
      </c>
      <c r="AG111" s="81">
        <f>SUM(AG110,AG102,AG94)</f>
        <v>269</v>
      </c>
      <c r="AH111" s="82">
        <f>SUM(AH110,AH102,AH94)</f>
        <v>101</v>
      </c>
      <c r="AI111" s="83"/>
      <c r="AJ111" s="83"/>
      <c r="AK111" s="83">
        <f>SQRT(AVERAGE(AK94^2,AK102^2,AK110^2))</f>
        <v>2.7305710975029611</v>
      </c>
      <c r="AL111" s="83">
        <f>SQRT(AVERAGE(AL94^2,AL102^2,AL110^2))</f>
        <v>4.2319879751982166</v>
      </c>
      <c r="AM111" s="84">
        <f>AM94+AM102+AM110</f>
        <v>20894.529399302293</v>
      </c>
      <c r="AN111" s="85">
        <f>AN94+AN102+AN110</f>
        <v>8164.3202908766416</v>
      </c>
      <c r="AO111" s="85">
        <f>AO94+AO102+AO110</f>
        <v>2885.1557294776289</v>
      </c>
      <c r="AP111" s="86">
        <f>AP94+AP102+AP110</f>
        <v>2383.9665847149486</v>
      </c>
      <c r="AQ111" s="85"/>
      <c r="AR111" s="89"/>
    </row>
    <row r="112" spans="1:44" x14ac:dyDescent="0.25">
      <c r="A112" s="273" t="s">
        <v>35</v>
      </c>
      <c r="B112" s="5" t="s">
        <v>0</v>
      </c>
      <c r="C112" s="3"/>
      <c r="D112" s="9"/>
      <c r="E112" s="3"/>
      <c r="F112" s="9"/>
      <c r="G112" s="71"/>
      <c r="H112" s="115"/>
      <c r="I112" s="71"/>
      <c r="J112" s="71"/>
      <c r="K112" s="54"/>
      <c r="L112" s="51"/>
      <c r="M112" s="51"/>
      <c r="N112" s="68"/>
      <c r="O112" s="68"/>
      <c r="P112" s="78"/>
      <c r="Q112" s="3"/>
      <c r="R112" s="9"/>
      <c r="S112" s="3"/>
      <c r="T112" s="9"/>
      <c r="U112" s="37"/>
      <c r="V112" s="37"/>
      <c r="W112" s="71"/>
      <c r="X112" s="71"/>
      <c r="Y112" s="54"/>
      <c r="Z112" s="51"/>
      <c r="AA112" s="51"/>
      <c r="AB112" s="69"/>
      <c r="AC112" s="51"/>
      <c r="AD112" s="51"/>
      <c r="AE112" s="3"/>
      <c r="AF112" s="9"/>
      <c r="AG112" s="3"/>
      <c r="AH112" s="9"/>
      <c r="AI112" s="71"/>
      <c r="AJ112" s="71"/>
      <c r="AK112" s="71"/>
      <c r="AL112" s="71"/>
      <c r="AM112" s="54"/>
      <c r="AN112" s="51"/>
      <c r="AO112" s="51"/>
      <c r="AP112" s="68"/>
      <c r="AQ112" s="51"/>
      <c r="AR112" s="59"/>
    </row>
    <row r="113" spans="1:44" x14ac:dyDescent="0.25">
      <c r="A113" s="261"/>
      <c r="B113" s="5" t="s">
        <v>1</v>
      </c>
      <c r="C113" s="3"/>
      <c r="D113" s="9"/>
      <c r="E113" s="3"/>
      <c r="F113" s="9"/>
      <c r="G113" s="71"/>
      <c r="H113" s="115"/>
      <c r="I113" s="71"/>
      <c r="J113" s="71"/>
      <c r="K113" s="54"/>
      <c r="L113" s="51"/>
      <c r="M113" s="51"/>
      <c r="N113" s="68"/>
      <c r="O113" s="68"/>
      <c r="P113" s="78"/>
      <c r="Q113" s="3"/>
      <c r="R113" s="9"/>
      <c r="S113" s="3"/>
      <c r="T113" s="9"/>
      <c r="U113" s="37"/>
      <c r="V113" s="37"/>
      <c r="W113" s="71"/>
      <c r="X113" s="71"/>
      <c r="Y113" s="54"/>
      <c r="Z113" s="51"/>
      <c r="AA113" s="51"/>
      <c r="AB113" s="69"/>
      <c r="AC113" s="51"/>
      <c r="AD113" s="51"/>
      <c r="AE113" s="3"/>
      <c r="AF113" s="9"/>
      <c r="AG113" s="3"/>
      <c r="AH113" s="9"/>
      <c r="AI113" s="71"/>
      <c r="AJ113" s="71"/>
      <c r="AK113" s="71"/>
      <c r="AL113" s="71"/>
      <c r="AM113" s="54"/>
      <c r="AN113" s="51"/>
      <c r="AO113" s="51"/>
      <c r="AP113" s="68"/>
      <c r="AQ113" s="51"/>
      <c r="AR113" s="59"/>
    </row>
    <row r="114" spans="1:44" x14ac:dyDescent="0.25">
      <c r="A114" s="261"/>
      <c r="B114" s="5" t="s">
        <v>2</v>
      </c>
      <c r="C114" s="3"/>
      <c r="D114" s="9"/>
      <c r="E114" s="3"/>
      <c r="F114" s="9"/>
      <c r="G114" s="71"/>
      <c r="H114" s="115"/>
      <c r="I114" s="71"/>
      <c r="J114" s="71"/>
      <c r="K114" s="54"/>
      <c r="L114" s="51"/>
      <c r="M114" s="51"/>
      <c r="N114" s="68"/>
      <c r="O114" s="68"/>
      <c r="P114" s="78"/>
      <c r="Q114" s="3"/>
      <c r="R114" s="9"/>
      <c r="S114" s="3"/>
      <c r="T114" s="9"/>
      <c r="U114" s="37"/>
      <c r="V114" s="37"/>
      <c r="W114" s="71"/>
      <c r="X114" s="71"/>
      <c r="Y114" s="54"/>
      <c r="Z114" s="51"/>
      <c r="AA114" s="51"/>
      <c r="AB114" s="69"/>
      <c r="AC114" s="51"/>
      <c r="AD114" s="51"/>
      <c r="AE114" s="3"/>
      <c r="AF114" s="9"/>
      <c r="AG114" s="3"/>
      <c r="AH114" s="9"/>
      <c r="AI114" s="71"/>
      <c r="AJ114" s="71"/>
      <c r="AK114" s="71"/>
      <c r="AL114" s="71"/>
      <c r="AM114" s="54"/>
      <c r="AN114" s="51"/>
      <c r="AO114" s="51"/>
      <c r="AP114" s="68"/>
      <c r="AQ114" s="51"/>
      <c r="AR114" s="59"/>
    </row>
    <row r="115" spans="1:44" x14ac:dyDescent="0.25">
      <c r="A115" s="261"/>
      <c r="B115" s="5" t="s">
        <v>3</v>
      </c>
      <c r="C115" s="3"/>
      <c r="D115" s="9"/>
      <c r="E115" s="3"/>
      <c r="F115" s="9"/>
      <c r="G115" s="71"/>
      <c r="H115" s="115"/>
      <c r="I115" s="71"/>
      <c r="J115" s="71"/>
      <c r="K115" s="54"/>
      <c r="L115" s="51"/>
      <c r="M115" s="51"/>
      <c r="N115" s="68"/>
      <c r="O115" s="68"/>
      <c r="P115" s="78"/>
      <c r="Q115" s="3">
        <f t="shared" ref="Q115:T118" si="62">SUM(Q90,Q98,Q106)</f>
        <v>1</v>
      </c>
      <c r="R115" s="9">
        <f t="shared" si="62"/>
        <v>1</v>
      </c>
      <c r="S115" s="3">
        <f t="shared" si="62"/>
        <v>7</v>
      </c>
      <c r="T115" s="9">
        <f t="shared" si="62"/>
        <v>4</v>
      </c>
      <c r="U115" s="37"/>
      <c r="V115" s="37"/>
      <c r="W115" s="71">
        <f t="shared" ref="W115:X118" si="63">SQRT(AVERAGE(W90^2,W98^2,W106^2))</f>
        <v>0</v>
      </c>
      <c r="X115" s="71">
        <f t="shared" si="63"/>
        <v>0</v>
      </c>
      <c r="Y115" s="54"/>
      <c r="Z115" s="51"/>
      <c r="AA115" s="51"/>
      <c r="AB115" s="69"/>
      <c r="AC115" s="51"/>
      <c r="AD115" s="51"/>
      <c r="AE115" s="3">
        <f t="shared" ref="AE115:AH118" si="64">SUM(AE90,AE98,AE106)</f>
        <v>1</v>
      </c>
      <c r="AF115" s="9">
        <f t="shared" si="64"/>
        <v>1</v>
      </c>
      <c r="AG115" s="3">
        <f t="shared" si="64"/>
        <v>2</v>
      </c>
      <c r="AH115" s="9">
        <f t="shared" si="64"/>
        <v>5</v>
      </c>
      <c r="AI115" s="71"/>
      <c r="AJ115" s="71"/>
      <c r="AK115" s="71">
        <f t="shared" ref="AK115:AL118" si="65">SQRT(AVERAGE(AK90^2,AK98^2,AK106^2))</f>
        <v>0</v>
      </c>
      <c r="AL115" s="71">
        <f t="shared" si="65"/>
        <v>0</v>
      </c>
      <c r="AM115" s="54"/>
      <c r="AN115" s="51"/>
      <c r="AO115" s="51"/>
      <c r="AP115" s="68"/>
      <c r="AQ115" s="51"/>
      <c r="AR115" s="59"/>
    </row>
    <row r="116" spans="1:44" x14ac:dyDescent="0.25">
      <c r="A116" s="261"/>
      <c r="B116" s="5" t="s">
        <v>4</v>
      </c>
      <c r="C116" s="3">
        <f>SUM(C91,C99,C107)</f>
        <v>367</v>
      </c>
      <c r="D116" s="9"/>
      <c r="E116" s="3">
        <f>SUM(E91,E99,E107)</f>
        <v>2158</v>
      </c>
      <c r="F116" s="9"/>
      <c r="G116" s="71">
        <f>IF(C116,E116/C116,"")</f>
        <v>5.8801089918256126</v>
      </c>
      <c r="H116" s="115"/>
      <c r="I116" s="71">
        <f>SQRT((I91^2*(C91-1)+I99^2*(C99-1)+I107^2*(C107-1))/(C91+C99+C107-3))</f>
        <v>19.097669869109851</v>
      </c>
      <c r="J116" s="71"/>
      <c r="K116" s="54">
        <f>SUM(K91,K99,K107)</f>
        <v>138691.44963963743</v>
      </c>
      <c r="L116" s="51"/>
      <c r="M116" s="51">
        <f>SUM(M91,M99,M107)</f>
        <v>1074.0532577973859</v>
      </c>
      <c r="N116" s="68"/>
      <c r="O116" s="68"/>
      <c r="P116" s="78"/>
      <c r="Q116" s="3">
        <f t="shared" si="62"/>
        <v>8</v>
      </c>
      <c r="R116" s="9">
        <f t="shared" si="62"/>
        <v>8</v>
      </c>
      <c r="S116" s="3">
        <f t="shared" si="62"/>
        <v>32</v>
      </c>
      <c r="T116" s="9">
        <f t="shared" si="62"/>
        <v>45</v>
      </c>
      <c r="U116" s="37"/>
      <c r="V116" s="37"/>
      <c r="W116" s="71">
        <f t="shared" si="63"/>
        <v>1.6996731711975956</v>
      </c>
      <c r="X116" s="71">
        <f t="shared" si="63"/>
        <v>4.304390523381656</v>
      </c>
      <c r="Y116" s="54">
        <f t="shared" ref="Y116:AB118" si="66">SUM(Y91,Y99,Y107)</f>
        <v>2034.7799186672273</v>
      </c>
      <c r="Z116" s="51">
        <f t="shared" si="66"/>
        <v>2871.2459745506471</v>
      </c>
      <c r="AA116" s="51">
        <f t="shared" si="66"/>
        <v>676.18773926641381</v>
      </c>
      <c r="AB116" s="69">
        <f t="shared" si="66"/>
        <v>1131.8233049406158</v>
      </c>
      <c r="AC116" s="51">
        <f>W116*External_Sources!$D$27</f>
        <v>117.51270383384212</v>
      </c>
      <c r="AD116" s="51">
        <f>X116*External_Sources!$D$27</f>
        <v>297.59872505544246</v>
      </c>
      <c r="AE116" s="3">
        <f t="shared" si="64"/>
        <v>14</v>
      </c>
      <c r="AF116" s="9">
        <f t="shared" si="64"/>
        <v>1</v>
      </c>
      <c r="AG116" s="3">
        <f t="shared" si="64"/>
        <v>126</v>
      </c>
      <c r="AH116" s="9">
        <f t="shared" si="64"/>
        <v>12</v>
      </c>
      <c r="AI116" s="71"/>
      <c r="AJ116" s="71"/>
      <c r="AK116" s="71">
        <f t="shared" si="65"/>
        <v>1.427248064296128</v>
      </c>
      <c r="AL116" s="71">
        <f t="shared" si="65"/>
        <v>0</v>
      </c>
      <c r="AM116" s="54">
        <f t="shared" ref="AM116:AP118" si="67">SUM(AM91,AM99,AM107)</f>
        <v>8093.7735747162133</v>
      </c>
      <c r="AN116" s="51">
        <f t="shared" si="67"/>
        <v>829.6609429991222</v>
      </c>
      <c r="AO116" s="51">
        <f t="shared" si="67"/>
        <v>5420.9045288749394</v>
      </c>
      <c r="AP116" s="68">
        <f t="shared" si="67"/>
        <v>829.6609429991222</v>
      </c>
      <c r="AQ116" s="51">
        <f>AK116*External_Sources!$D$27</f>
        <v>98.677664576466441</v>
      </c>
      <c r="AR116" s="59">
        <f>AL116*External_Sources!$D$27</f>
        <v>0</v>
      </c>
    </row>
    <row r="117" spans="1:44" x14ac:dyDescent="0.25">
      <c r="A117" s="261"/>
      <c r="B117" s="5" t="s">
        <v>5</v>
      </c>
      <c r="C117" s="3">
        <f>SUM(C92,C100,C108)</f>
        <v>314</v>
      </c>
      <c r="D117" s="9"/>
      <c r="E117" s="3">
        <f>SUM(E92,E100,E108)</f>
        <v>2250</v>
      </c>
      <c r="F117" s="9"/>
      <c r="G117" s="71">
        <f>IF(C117,E117/C117,"")</f>
        <v>7.1656050955414017</v>
      </c>
      <c r="H117" s="115"/>
      <c r="I117" s="71">
        <f>SQRT((I92^2*(C92-1)+I100^2*(C100-1)+I108^2*(C108-1))/(C92+C100+C108-3))</f>
        <v>5.847016139732589</v>
      </c>
      <c r="J117" s="71"/>
      <c r="K117" s="54">
        <f>SUM(K92,K100,K108)</f>
        <v>207625.89471816685</v>
      </c>
      <c r="L117" s="51"/>
      <c r="M117" s="51">
        <f>SUM(M92,M100,M108)</f>
        <v>1954.4288716123319</v>
      </c>
      <c r="N117" s="68"/>
      <c r="O117" s="68"/>
      <c r="P117" s="78"/>
      <c r="Q117" s="3">
        <f t="shared" si="62"/>
        <v>11</v>
      </c>
      <c r="R117" s="9">
        <f t="shared" si="62"/>
        <v>3</v>
      </c>
      <c r="S117" s="3">
        <f t="shared" si="62"/>
        <v>97</v>
      </c>
      <c r="T117" s="9">
        <f t="shared" si="62"/>
        <v>34</v>
      </c>
      <c r="U117" s="37"/>
      <c r="V117" s="37"/>
      <c r="W117" s="71">
        <f t="shared" si="63"/>
        <v>4.5655716448703805</v>
      </c>
      <c r="X117" s="71">
        <f t="shared" si="63"/>
        <v>6.3595946761129696</v>
      </c>
      <c r="Y117" s="54">
        <f t="shared" si="66"/>
        <v>8891.5848554679851</v>
      </c>
      <c r="Z117" s="51">
        <f t="shared" si="66"/>
        <v>3059.759844344982</v>
      </c>
      <c r="AA117" s="51">
        <f t="shared" si="66"/>
        <v>2248.1729937028758</v>
      </c>
      <c r="AB117" s="69">
        <f t="shared" si="66"/>
        <v>1019.919948114994</v>
      </c>
      <c r="AC117" s="51">
        <f>W117*External_Sources!$D$28</f>
        <v>453.02897260050725</v>
      </c>
      <c r="AD117" s="51">
        <f>X117*External_Sources!$D$28</f>
        <v>631.04488690088442</v>
      </c>
      <c r="AE117" s="3">
        <f t="shared" si="64"/>
        <v>15</v>
      </c>
      <c r="AF117" s="9">
        <f t="shared" si="64"/>
        <v>7</v>
      </c>
      <c r="AG117" s="3">
        <f t="shared" si="64"/>
        <v>128</v>
      </c>
      <c r="AH117" s="9">
        <f t="shared" si="64"/>
        <v>70</v>
      </c>
      <c r="AI117" s="71"/>
      <c r="AJ117" s="71"/>
      <c r="AK117" s="71">
        <f t="shared" si="65"/>
        <v>5.2713411042197853</v>
      </c>
      <c r="AL117" s="71">
        <f t="shared" si="65"/>
        <v>8.4639759503964331</v>
      </c>
      <c r="AM117" s="54">
        <f t="shared" si="67"/>
        <v>11885.236057485186</v>
      </c>
      <c r="AN117" s="51">
        <f t="shared" si="67"/>
        <v>6381.6594564762327</v>
      </c>
      <c r="AO117" s="51">
        <f t="shared" si="67"/>
        <v>2661.8473794073252</v>
      </c>
      <c r="AP117" s="68">
        <f t="shared" si="67"/>
        <v>2426.4772363422317</v>
      </c>
      <c r="AQ117" s="51">
        <f>AK117*External_Sources!$D$28</f>
        <v>523.06051255478906</v>
      </c>
      <c r="AR117" s="59">
        <f>AL117*External_Sources!$D$28</f>
        <v>839.85678622120486</v>
      </c>
    </row>
    <row r="118" spans="1:44" x14ac:dyDescent="0.25">
      <c r="A118" s="261"/>
      <c r="B118" s="6" t="s">
        <v>6</v>
      </c>
      <c r="C118" s="10">
        <f>SUM(C93,C101,C109)</f>
        <v>21</v>
      </c>
      <c r="D118" s="11"/>
      <c r="E118" s="10">
        <f>SUM(E93,E101,E109)</f>
        <v>151</v>
      </c>
      <c r="F118" s="11"/>
      <c r="G118" s="39">
        <f>IF(C118,E118/C118,"")</f>
        <v>7.1904761904761907</v>
      </c>
      <c r="H118" s="6"/>
      <c r="I118" s="39">
        <f>SQRT((I93^2*(C93-1)+I101^2*(C101-1)+I109^2*(C109-1))/(C93+C101+C109-3))</f>
        <v>5.9139926142983379</v>
      </c>
      <c r="J118" s="39"/>
      <c r="K118" s="55">
        <f>SUM(K93,K101,K109)</f>
        <v>10282.324256853361</v>
      </c>
      <c r="L118" s="50"/>
      <c r="M118" s="50">
        <f>SUM(M93,M101,M109)</f>
        <v>1469.5258325407831</v>
      </c>
      <c r="N118" s="75"/>
      <c r="O118" s="75"/>
      <c r="P118" s="79"/>
      <c r="Q118" s="10">
        <f t="shared" si="62"/>
        <v>0</v>
      </c>
      <c r="R118" s="11">
        <f t="shared" si="62"/>
        <v>0</v>
      </c>
      <c r="S118" s="10">
        <f t="shared" si="62"/>
        <v>0</v>
      </c>
      <c r="T118" s="11">
        <f t="shared" si="62"/>
        <v>0</v>
      </c>
      <c r="U118" s="39"/>
      <c r="V118" s="39"/>
      <c r="W118" s="39">
        <f t="shared" si="63"/>
        <v>0</v>
      </c>
      <c r="X118" s="39">
        <f t="shared" si="63"/>
        <v>0</v>
      </c>
      <c r="Y118" s="55">
        <f t="shared" si="66"/>
        <v>0</v>
      </c>
      <c r="Z118" s="50">
        <f t="shared" si="66"/>
        <v>0</v>
      </c>
      <c r="AA118" s="50">
        <f t="shared" si="66"/>
        <v>0</v>
      </c>
      <c r="AB118" s="75">
        <f t="shared" si="66"/>
        <v>0</v>
      </c>
      <c r="AC118" s="50">
        <f>W118*External_Sources!$D$29</f>
        <v>0</v>
      </c>
      <c r="AD118" s="50">
        <f>X118*External_Sources!$D$29</f>
        <v>0</v>
      </c>
      <c r="AE118" s="10">
        <f t="shared" si="64"/>
        <v>2</v>
      </c>
      <c r="AF118" s="11">
        <f t="shared" si="64"/>
        <v>1</v>
      </c>
      <c r="AG118" s="10">
        <f t="shared" si="64"/>
        <v>13</v>
      </c>
      <c r="AH118" s="11">
        <f t="shared" si="64"/>
        <v>14</v>
      </c>
      <c r="AI118" s="39"/>
      <c r="AJ118" s="39"/>
      <c r="AK118" s="39">
        <f t="shared" si="65"/>
        <v>0</v>
      </c>
      <c r="AL118" s="39">
        <f t="shared" si="65"/>
        <v>0</v>
      </c>
      <c r="AM118" s="55">
        <f t="shared" si="67"/>
        <v>915.51976710088979</v>
      </c>
      <c r="AN118" s="50">
        <f t="shared" si="67"/>
        <v>952.99989140128582</v>
      </c>
      <c r="AO118" s="50">
        <f t="shared" si="67"/>
        <v>915.51976710088979</v>
      </c>
      <c r="AP118" s="75">
        <f t="shared" si="67"/>
        <v>952.99989140128582</v>
      </c>
      <c r="AQ118" s="50">
        <f>AK118*External_Sources!$D$29</f>
        <v>0</v>
      </c>
      <c r="AR118" s="60">
        <f>AL118*External_Sources!$D$29</f>
        <v>0</v>
      </c>
    </row>
    <row r="119" spans="1:44" ht="15.75" thickBot="1" x14ac:dyDescent="0.3">
      <c r="A119" s="262"/>
      <c r="B119" s="15" t="s">
        <v>14</v>
      </c>
      <c r="C119" s="16">
        <f>SUM(C112:C118)</f>
        <v>702</v>
      </c>
      <c r="D119" s="17"/>
      <c r="E119" s="16">
        <f>SUM(E112:E118)</f>
        <v>4559</v>
      </c>
      <c r="F119" s="17"/>
      <c r="G119" s="70">
        <f>IF(C119,E119/C119,"")</f>
        <v>6.4943019943019946</v>
      </c>
      <c r="H119" s="67"/>
      <c r="I119" s="40">
        <f>SQRT(((C116-1)*I116^2+(C117-1)*I117^2+(C118-1)*I118^2)/(C116+C117+C118-3))</f>
        <v>14.397191559016523</v>
      </c>
      <c r="J119" s="40"/>
      <c r="K119" s="74">
        <f>SUM(K112:K118)</f>
        <v>356599.66861465765</v>
      </c>
      <c r="L119" s="57"/>
      <c r="M119" s="57">
        <f>SUM(M112:M118)</f>
        <v>4498.0079619505013</v>
      </c>
      <c r="N119" s="77"/>
      <c r="O119" s="77"/>
      <c r="P119" s="80"/>
      <c r="Q119" s="16">
        <f>SUM(Q112:Q118)</f>
        <v>20</v>
      </c>
      <c r="R119" s="17">
        <f>SUM(R112:R118)</f>
        <v>12</v>
      </c>
      <c r="S119" s="16">
        <f>SUM(S112:S118)</f>
        <v>136</v>
      </c>
      <c r="T119" s="17">
        <f>SUM(T112:T118)</f>
        <v>83</v>
      </c>
      <c r="U119" s="40"/>
      <c r="V119" s="40"/>
      <c r="W119" s="40">
        <f t="array" ref="W119">SQRT(AVERAGE(W115:W118^2))</f>
        <v>2.4358434541926806</v>
      </c>
      <c r="X119" s="40">
        <f t="array" ref="X119">SQRT(AVERAGE(X115:X118^2))</f>
        <v>3.8396686778360913</v>
      </c>
      <c r="Y119" s="74">
        <f>SUM(Y112:Y118)</f>
        <v>10926.364774135212</v>
      </c>
      <c r="Z119" s="57">
        <f>SUM(Z112:Z118)</f>
        <v>5931.0058188956291</v>
      </c>
      <c r="AA119" s="57">
        <f>SUM(AA112:AA118)</f>
        <v>2924.3607329692895</v>
      </c>
      <c r="AB119" s="77">
        <f>SUM(AB112:AB118)</f>
        <v>2151.7432530556098</v>
      </c>
      <c r="AC119" s="57"/>
      <c r="AD119" s="57"/>
      <c r="AE119" s="16">
        <f>SUM(AE112:AE118)</f>
        <v>32</v>
      </c>
      <c r="AF119" s="17">
        <f>SUM(AF112:AF118)</f>
        <v>10</v>
      </c>
      <c r="AG119" s="16">
        <f>SUM(AG112:AG118)</f>
        <v>269</v>
      </c>
      <c r="AH119" s="17">
        <f>SUM(AH112:AH118)</f>
        <v>101</v>
      </c>
      <c r="AI119" s="40"/>
      <c r="AJ119" s="40"/>
      <c r="AK119" s="40">
        <f t="array" ref="AK119">SQRT(AVERAGE(AK115:AK118^2))</f>
        <v>2.7305710975029616</v>
      </c>
      <c r="AL119" s="40">
        <f t="array" ref="AL119">SQRT(AVERAGE(AL115:AL118^2))</f>
        <v>4.2319879751982166</v>
      </c>
      <c r="AM119" s="74">
        <f>SUM(AM112:AM118)</f>
        <v>20894.52939930229</v>
      </c>
      <c r="AN119" s="57">
        <f>SUM(AN112:AN118)</f>
        <v>8164.3202908766407</v>
      </c>
      <c r="AO119" s="57">
        <f>SUM(AO112:AO118)</f>
        <v>8998.2716753831537</v>
      </c>
      <c r="AP119" s="77">
        <f>SUM(AP112:AP118)</f>
        <v>4209.1380707426397</v>
      </c>
      <c r="AQ119" s="57"/>
      <c r="AR119" s="206"/>
    </row>
    <row r="120" spans="1:44" ht="15.75" thickTop="1" x14ac:dyDescent="0.25"/>
    <row r="123" spans="1:44" x14ac:dyDescent="0.25">
      <c r="A123" s="268" t="s">
        <v>36</v>
      </c>
      <c r="B123" s="268"/>
    </row>
    <row r="124" spans="1:44" x14ac:dyDescent="0.25">
      <c r="A124" s="268"/>
      <c r="B124" s="268"/>
    </row>
    <row r="125" spans="1:44" x14ac:dyDescent="0.25">
      <c r="A125" s="268"/>
      <c r="B125" s="268"/>
    </row>
    <row r="126" spans="1:44" x14ac:dyDescent="0.25">
      <c r="A126" s="6" t="s">
        <v>7</v>
      </c>
      <c r="B126" s="6" t="s">
        <v>8</v>
      </c>
      <c r="C126" s="8" t="s">
        <v>24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8" t="s">
        <v>22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8" t="s">
        <v>23</v>
      </c>
    </row>
    <row r="127" spans="1:44" x14ac:dyDescent="0.25">
      <c r="A127" s="260">
        <v>2012</v>
      </c>
      <c r="B127" s="12" t="s">
        <v>0</v>
      </c>
      <c r="C127" s="18">
        <f>Sick_Leave!C7/IncidenceComplications!G4</f>
        <v>0</v>
      </c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f>Sick_Leave!Q7/IncidenceComplications!M4</f>
        <v>0</v>
      </c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>
        <f>Sick_Leave!AE7/IncidenceComplications!W4</f>
        <v>0</v>
      </c>
    </row>
    <row r="128" spans="1:44" x14ac:dyDescent="0.25">
      <c r="A128" s="261"/>
      <c r="B128" s="5" t="s">
        <v>1</v>
      </c>
      <c r="C128" s="18">
        <f>Sick_Leave!C8/IncidenceComplications!G5</f>
        <v>0</v>
      </c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>
        <f>Sick_Leave!Q8/IncidenceComplications!M5</f>
        <v>0</v>
      </c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>
        <f>Sick_Leave!AE8/IncidenceComplications!W5</f>
        <v>0</v>
      </c>
    </row>
    <row r="129" spans="1:37" x14ac:dyDescent="0.25">
      <c r="A129" s="261"/>
      <c r="B129" s="5" t="s">
        <v>2</v>
      </c>
      <c r="C129" s="18">
        <f>Sick_Leave!C9/IncidenceComplications!G6</f>
        <v>0</v>
      </c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f>Sick_Leave!Q9/IncidenceComplications!M6</f>
        <v>0</v>
      </c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>
        <f>Sick_Leave!AE9/IncidenceComplications!W6</f>
        <v>0</v>
      </c>
    </row>
    <row r="130" spans="1:37" x14ac:dyDescent="0.25">
      <c r="A130" s="261"/>
      <c r="B130" s="5" t="s">
        <v>3</v>
      </c>
      <c r="C130" s="18">
        <f>Sick_Leave!C10/IncidenceComplications!G7</f>
        <v>2.0669291338582679E-2</v>
      </c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>
        <f>Sick_Leave!Q10/IncidenceComplications!M7</f>
        <v>1.2987012987012988E-2</v>
      </c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>
        <f>Sick_Leave!AE10/IncidenceComplications!W7</f>
        <v>8.3333333333333332E-3</v>
      </c>
    </row>
    <row r="131" spans="1:37" x14ac:dyDescent="0.25">
      <c r="A131" s="261"/>
      <c r="B131" s="5" t="s">
        <v>4</v>
      </c>
      <c r="C131" s="18">
        <f>Sick_Leave!C11/IncidenceComplications!G8</f>
        <v>0.35706711104378125</v>
      </c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f>Sick_Leave!Q11/IncidenceComplications!M8</f>
        <v>0.33891213389121339</v>
      </c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>
        <f>Sick_Leave!AE11/IncidenceComplications!W8</f>
        <v>0.59808612440191389</v>
      </c>
    </row>
    <row r="132" spans="1:37" x14ac:dyDescent="0.25">
      <c r="A132" s="261"/>
      <c r="B132" s="5" t="s">
        <v>5</v>
      </c>
      <c r="C132" s="18">
        <f>Sick_Leave!C12/IncidenceComplications!G9</f>
        <v>0.46718717028909051</v>
      </c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f>Sick_Leave!Q12/IncidenceComplications!M9</f>
        <v>0.38127090301003347</v>
      </c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>
        <f>Sick_Leave!AE12/IncidenceComplications!W9</f>
        <v>0.75242718446601942</v>
      </c>
    </row>
    <row r="133" spans="1:37" x14ac:dyDescent="0.25">
      <c r="A133" s="261"/>
      <c r="B133" s="6" t="s">
        <v>6</v>
      </c>
      <c r="C133" s="19">
        <f>Sick_Leave!C13/IncidenceComplications!G10</f>
        <v>0.11940298507462686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>
        <f>Sick_Leave!Q13/IncidenceComplications!M10</f>
        <v>4.2553191489361701E-2</v>
      </c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>
        <f>Sick_Leave!AE13/IncidenceComplications!W10</f>
        <v>9.2511013215859028E-2</v>
      </c>
    </row>
    <row r="134" spans="1:37" ht="15.75" thickBot="1" x14ac:dyDescent="0.3">
      <c r="A134" s="262"/>
      <c r="B134" s="15" t="s">
        <v>14</v>
      </c>
      <c r="C134" s="20">
        <f>Sick_Leave!C14/IncidenceComplications!G11</f>
        <v>0.30052316260231204</v>
      </c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>
        <f>Sick_Leave!Q14/IncidenceComplications!M11</f>
        <v>0.12721518987341773</v>
      </c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>
        <f>Sick_Leave!AE14/IncidenceComplications!W11</f>
        <v>0.35758998435054773</v>
      </c>
    </row>
    <row r="135" spans="1:37" ht="15.75" thickTop="1" x14ac:dyDescent="0.25">
      <c r="A135" s="263">
        <v>2013</v>
      </c>
      <c r="B135" s="5" t="s">
        <v>0</v>
      </c>
      <c r="C135" s="18">
        <f>Sick_Leave!C15/IncidenceComplications!G12</f>
        <v>0</v>
      </c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f>Sick_Leave!Q15/IncidenceComplications!M12</f>
        <v>0</v>
      </c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>
        <f>Sick_Leave!AE15/IncidenceComplications!W12</f>
        <v>0</v>
      </c>
    </row>
    <row r="136" spans="1:37" x14ac:dyDescent="0.25">
      <c r="A136" s="261"/>
      <c r="B136" s="5" t="s">
        <v>1</v>
      </c>
      <c r="C136" s="18">
        <f>Sick_Leave!C16/IncidenceComplications!G13</f>
        <v>0</v>
      </c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f>Sick_Leave!Q16/IncidenceComplications!M13</f>
        <v>0</v>
      </c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>
        <f>Sick_Leave!AE16/IncidenceComplications!W13</f>
        <v>0</v>
      </c>
    </row>
    <row r="137" spans="1:37" x14ac:dyDescent="0.25">
      <c r="A137" s="261"/>
      <c r="B137" s="5" t="s">
        <v>2</v>
      </c>
      <c r="C137" s="18">
        <f>Sick_Leave!C17/IncidenceComplications!G14</f>
        <v>0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>
        <f>Sick_Leave!Q17/IncidenceComplications!M14</f>
        <v>0</v>
      </c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>
        <f>Sick_Leave!AE17/IncidenceComplications!W14</f>
        <v>0</v>
      </c>
    </row>
    <row r="138" spans="1:37" x14ac:dyDescent="0.25">
      <c r="A138" s="261"/>
      <c r="B138" s="5" t="s">
        <v>3</v>
      </c>
      <c r="C138" s="18">
        <f>Sick_Leave!C18/IncidenceComplications!G15</f>
        <v>1.6306649724692927E-2</v>
      </c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>
        <f>Sick_Leave!Q18/IncidenceComplications!M15</f>
        <v>6.006006006006006E-3</v>
      </c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>
        <f>Sick_Leave!AE18/IncidenceComplications!W15</f>
        <v>5.6179775280898875E-3</v>
      </c>
    </row>
    <row r="139" spans="1:37" x14ac:dyDescent="0.25">
      <c r="A139" s="261"/>
      <c r="B139" s="5" t="s">
        <v>4</v>
      </c>
      <c r="C139" s="18">
        <f>Sick_Leave!C19/IncidenceComplications!G16</f>
        <v>0.40197986293256621</v>
      </c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f>Sick_Leave!Q19/IncidenceComplications!M16</f>
        <v>0.3471882640586797</v>
      </c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>
        <f>Sick_Leave!AE19/IncidenceComplications!W16</f>
        <v>0.66898954703832758</v>
      </c>
    </row>
    <row r="140" spans="1:37" x14ac:dyDescent="0.25">
      <c r="A140" s="261"/>
      <c r="B140" s="5" t="s">
        <v>5</v>
      </c>
      <c r="C140" s="18">
        <f>Sick_Leave!C20/IncidenceComplications!G17</f>
        <v>0.54511476352484545</v>
      </c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f>Sick_Leave!Q20/IncidenceComplications!M17</f>
        <v>0.37333333333333335</v>
      </c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>
        <f>Sick_Leave!AE20/IncidenceComplications!W17</f>
        <v>0.69673055242390081</v>
      </c>
    </row>
    <row r="141" spans="1:37" x14ac:dyDescent="0.25">
      <c r="A141" s="261"/>
      <c r="B141" s="6" t="s">
        <v>6</v>
      </c>
      <c r="C141" s="19">
        <f>Sick_Leave!C21/IncidenceComplications!G18</f>
        <v>0.19660937132093242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>
        <f>Sick_Leave!Q21/IncidenceComplications!M18</f>
        <v>6.25E-2</v>
      </c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>
        <f>Sick_Leave!AE21/IncidenceComplications!W18</f>
        <v>0.16804407713498623</v>
      </c>
    </row>
    <row r="142" spans="1:37" ht="15.75" thickBot="1" x14ac:dyDescent="0.3">
      <c r="A142" s="262"/>
      <c r="B142" s="15" t="s">
        <v>14</v>
      </c>
      <c r="C142" s="20">
        <f>Sick_Leave!C22/IncidenceComplications!G19</f>
        <v>0.34926003361620139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>
        <f>Sick_Leave!Q22/IncidenceComplications!M19</f>
        <v>0.11321890996687745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>
        <f>Sick_Leave!AE22/IncidenceComplications!W19</f>
        <v>0.36531210724759111</v>
      </c>
    </row>
    <row r="143" spans="1:37" ht="15.75" thickTop="1" x14ac:dyDescent="0.25">
      <c r="A143" s="263">
        <v>2014</v>
      </c>
      <c r="B143" s="5" t="s">
        <v>0</v>
      </c>
      <c r="C143" s="18">
        <f>Sick_Leave!C23/IncidenceComplications!G20</f>
        <v>0</v>
      </c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f>Sick_Leave!Q23/IncidenceComplications!M20</f>
        <v>0</v>
      </c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>
        <f>Sick_Leave!AE23/IncidenceComplications!W20</f>
        <v>0</v>
      </c>
    </row>
    <row r="144" spans="1:37" x14ac:dyDescent="0.25">
      <c r="A144" s="261"/>
      <c r="B144" s="5" t="s">
        <v>1</v>
      </c>
      <c r="C144" s="18">
        <f>Sick_Leave!C24/IncidenceComplications!G21</f>
        <v>0</v>
      </c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>
        <f>Sick_Leave!Q24/IncidenceComplications!M21</f>
        <v>0</v>
      </c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>
        <f>Sick_Leave!AE24/IncidenceComplications!W21</f>
        <v>0</v>
      </c>
    </row>
    <row r="145" spans="1:37" x14ac:dyDescent="0.25">
      <c r="A145" s="261"/>
      <c r="B145" s="5" t="s">
        <v>2</v>
      </c>
      <c r="C145" s="18">
        <f>Sick_Leave!C25/IncidenceComplications!G22</f>
        <v>0</v>
      </c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>
        <f>Sick_Leave!Q25/IncidenceComplications!M22</f>
        <v>0</v>
      </c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>
        <f>Sick_Leave!AE25/IncidenceComplications!W22</f>
        <v>0</v>
      </c>
    </row>
    <row r="146" spans="1:37" x14ac:dyDescent="0.25">
      <c r="A146" s="261"/>
      <c r="B146" s="5" t="s">
        <v>3</v>
      </c>
      <c r="C146" s="18">
        <f>Sick_Leave!C26/IncidenceComplications!G23</f>
        <v>3.2707450030284677E-2</v>
      </c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f>Sick_Leave!Q26/IncidenceComplications!M23</f>
        <v>1.6393442622950821E-2</v>
      </c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>
        <f>Sick_Leave!AE26/IncidenceComplications!W23</f>
        <v>0</v>
      </c>
    </row>
    <row r="147" spans="1:37" x14ac:dyDescent="0.25">
      <c r="A147" s="261"/>
      <c r="B147" s="5" t="s">
        <v>4</v>
      </c>
      <c r="C147" s="18">
        <f>Sick_Leave!C27/IncidenceComplications!G24</f>
        <v>0.37686398553999095</v>
      </c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f>Sick_Leave!Q27/IncidenceComplications!M24</f>
        <v>0.34572490706319703</v>
      </c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>
        <f>Sick_Leave!AE27/IncidenceComplications!W24</f>
        <v>0.20370370370370369</v>
      </c>
    </row>
    <row r="148" spans="1:37" x14ac:dyDescent="0.25">
      <c r="A148" s="261"/>
      <c r="B148" s="5" t="s">
        <v>5</v>
      </c>
      <c r="C148" s="18">
        <f>Sick_Leave!C28/IncidenceComplications!G25</f>
        <v>0.48007404181184671</v>
      </c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>
        <f>Sick_Leave!Q28/IncidenceComplications!M25</f>
        <v>0.43670886075949367</v>
      </c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>
        <f>Sick_Leave!AE28/IncidenceComplications!W25</f>
        <v>0.31234866828087166</v>
      </c>
    </row>
    <row r="149" spans="1:37" x14ac:dyDescent="0.25">
      <c r="A149" s="261"/>
      <c r="B149" s="6" t="s">
        <v>6</v>
      </c>
      <c r="C149" s="19">
        <f>Sick_Leave!C29/IncidenceComplications!G26</f>
        <v>0.13970293054997993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>
        <f>Sick_Leave!Q29/IncidenceComplications!M26</f>
        <v>0.11607142857142858</v>
      </c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>
        <f>Sick_Leave!AE29/IncidenceComplications!W26</f>
        <v>4.9107142857142856E-2</v>
      </c>
    </row>
    <row r="150" spans="1:37" ht="15.75" thickBot="1" x14ac:dyDescent="0.3">
      <c r="A150" s="262"/>
      <c r="B150" s="15" t="s">
        <v>14</v>
      </c>
      <c r="C150" s="20">
        <f>Sick_Leave!C30/IncidenceComplications!G27</f>
        <v>0.32356975355072787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>
        <f>Sick_Leave!Q30/IncidenceComplications!M27</f>
        <v>0.15759128763613067</v>
      </c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>
        <f>Sick_Leave!AE30/IncidenceComplications!W27</f>
        <v>0.14824335904027422</v>
      </c>
    </row>
    <row r="151" spans="1:37" ht="16.5" thickTop="1" thickBot="1" x14ac:dyDescent="0.3">
      <c r="A151" s="259" t="s">
        <v>14</v>
      </c>
      <c r="B151" s="259"/>
      <c r="C151" s="126">
        <f>Sick_Leave!C31/IncidenceComplications!G28</f>
        <v>0.33100568940676628</v>
      </c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>
        <f>Sick_Leave!Q31/IncidenceComplications!M28</f>
        <v>0.12735995047972765</v>
      </c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>
        <f>Sick_Leave!AE31/IncidenceComplications!W28</f>
        <v>0.31084437086092714</v>
      </c>
    </row>
    <row r="152" spans="1:37" x14ac:dyDescent="0.25">
      <c r="A152" s="273" t="s">
        <v>35</v>
      </c>
      <c r="B152" s="5" t="s">
        <v>0</v>
      </c>
      <c r="C152" s="128">
        <f>Sick_Leave!C32/IncidenceComplications!G29</f>
        <v>0</v>
      </c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>
        <f>Sick_Leave!Q32/IncidenceComplications!M29</f>
        <v>0</v>
      </c>
      <c r="V152" s="128"/>
      <c r="W152" s="128"/>
      <c r="X152" s="128"/>
      <c r="Y152" s="128"/>
      <c r="Z152" s="128"/>
      <c r="AA152" s="128"/>
      <c r="AB152" s="128"/>
      <c r="AC152" s="128"/>
      <c r="AD152" s="128"/>
      <c r="AE152" s="128"/>
      <c r="AF152" s="128"/>
      <c r="AG152" s="128"/>
      <c r="AH152" s="128"/>
      <c r="AI152" s="128"/>
      <c r="AJ152" s="128"/>
      <c r="AK152" s="128">
        <f>Sick_Leave!AE32/IncidenceComplications!W29</f>
        <v>0</v>
      </c>
    </row>
    <row r="153" spans="1:37" x14ac:dyDescent="0.25">
      <c r="A153" s="261"/>
      <c r="B153" s="5" t="s">
        <v>1</v>
      </c>
      <c r="C153" s="128">
        <f>Sick_Leave!C33/IncidenceComplications!G30</f>
        <v>0</v>
      </c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>
        <f>Sick_Leave!Q33/IncidenceComplications!M30</f>
        <v>0</v>
      </c>
      <c r="V153" s="128"/>
      <c r="W153" s="128"/>
      <c r="X153" s="128"/>
      <c r="Y153" s="128"/>
      <c r="Z153" s="128"/>
      <c r="AA153" s="128"/>
      <c r="AB153" s="128"/>
      <c r="AC153" s="128"/>
      <c r="AD153" s="128"/>
      <c r="AE153" s="128"/>
      <c r="AF153" s="128"/>
      <c r="AG153" s="128"/>
      <c r="AH153" s="128"/>
      <c r="AI153" s="128"/>
      <c r="AJ153" s="128"/>
      <c r="AK153" s="128">
        <f>Sick_Leave!AE33/IncidenceComplications!W30</f>
        <v>0</v>
      </c>
    </row>
    <row r="154" spans="1:37" x14ac:dyDescent="0.25">
      <c r="A154" s="261"/>
      <c r="B154" s="5" t="s">
        <v>2</v>
      </c>
      <c r="C154" s="128">
        <f>Sick_Leave!C34/IncidenceComplications!G31</f>
        <v>0</v>
      </c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>
        <f>Sick_Leave!Q34/IncidenceComplications!M31</f>
        <v>0</v>
      </c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>
        <f>Sick_Leave!AE34/IncidenceComplications!W31</f>
        <v>0</v>
      </c>
    </row>
    <row r="155" spans="1:37" x14ac:dyDescent="0.25">
      <c r="A155" s="261"/>
      <c r="B155" s="5" t="s">
        <v>3</v>
      </c>
      <c r="C155" s="128">
        <f>Sick_Leave!C35/IncidenceComplications!G32</f>
        <v>2.0582986317668056E-2</v>
      </c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>
        <f>Sick_Leave!Q35/IncidenceComplications!M32</f>
        <v>9.852216748768473E-3</v>
      </c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>
        <f>Sick_Leave!AE35/IncidenceComplications!W32</f>
        <v>5.1948051948051948E-3</v>
      </c>
    </row>
    <row r="156" spans="1:37" x14ac:dyDescent="0.25">
      <c r="A156" s="261"/>
      <c r="B156" s="5" t="s">
        <v>4</v>
      </c>
      <c r="C156" s="128">
        <f>Sick_Leave!C36/IncidenceComplications!G33</f>
        <v>0.38349495191348415</v>
      </c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>
        <f>Sick_Leave!Q36/IncidenceComplications!M33</f>
        <v>0.34460196292257361</v>
      </c>
      <c r="V156" s="128"/>
      <c r="W156" s="128"/>
      <c r="X156" s="128"/>
      <c r="Y156" s="128"/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128">
        <f>Sick_Leave!AE36/IncidenceComplications!W33</f>
        <v>0.53191489361702127</v>
      </c>
    </row>
    <row r="157" spans="1:37" x14ac:dyDescent="0.25">
      <c r="A157" s="261"/>
      <c r="B157" s="5" t="s">
        <v>5</v>
      </c>
      <c r="C157" s="128">
        <f>Sick_Leave!C37/IncidenceComplications!G34</f>
        <v>0.51132022969315216</v>
      </c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>
        <f>Sick_Leave!Q37/IncidenceComplications!M34</f>
        <v>0.39176954732510288</v>
      </c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128"/>
      <c r="AH157" s="128"/>
      <c r="AI157" s="128"/>
      <c r="AJ157" s="128"/>
      <c r="AK157" s="128">
        <f>Sick_Leave!AE37/IncidenceComplications!W34</f>
        <v>0.61740654205607481</v>
      </c>
    </row>
    <row r="158" spans="1:37" x14ac:dyDescent="0.25">
      <c r="A158" s="261"/>
      <c r="B158" s="6" t="s">
        <v>6</v>
      </c>
      <c r="C158" s="19">
        <f>Sick_Leave!C38/IncidenceComplications!G35</f>
        <v>0.16046435933600955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>
        <f>Sick_Leave!Q38/IncidenceComplications!M35</f>
        <v>7.4850299401197598E-2</v>
      </c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>
        <f>Sick_Leave!AE38/IncidenceComplications!W35</f>
        <v>0.11425061425061425</v>
      </c>
    </row>
    <row r="159" spans="1:37" ht="15.75" thickBot="1" x14ac:dyDescent="0.3">
      <c r="A159" s="262"/>
      <c r="B159" s="15" t="s">
        <v>14</v>
      </c>
      <c r="C159" s="129">
        <f>Sick_Leave!C39/IncidenceComplications!G36</f>
        <v>0.33100568940676628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>
        <f>Sick_Leave!Q39/IncidenceComplications!M36</f>
        <v>0.12735995047972765</v>
      </c>
      <c r="V159" s="129"/>
      <c r="W159" s="129"/>
      <c r="X159" s="129"/>
      <c r="Y159" s="129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>
        <f>Sick_Leave!AE39/IncidenceComplications!W36</f>
        <v>0.31084437086092714</v>
      </c>
    </row>
    <row r="160" spans="1:37" ht="15.75" thickTop="1" x14ac:dyDescent="0.25">
      <c r="A160" s="115"/>
      <c r="B160" s="115"/>
    </row>
    <row r="161" spans="1:3" x14ac:dyDescent="0.25">
      <c r="A161" s="115"/>
      <c r="B161" s="115"/>
    </row>
    <row r="162" spans="1:3" x14ac:dyDescent="0.25">
      <c r="A162" s="115"/>
      <c r="B162" s="115"/>
    </row>
    <row r="163" spans="1:3" x14ac:dyDescent="0.25">
      <c r="A163" s="268" t="s">
        <v>36</v>
      </c>
      <c r="B163" s="268"/>
      <c r="C163" s="115"/>
    </row>
    <row r="164" spans="1:3" x14ac:dyDescent="0.25">
      <c r="A164" s="268"/>
      <c r="B164" s="268"/>
      <c r="C164" s="115"/>
    </row>
    <row r="165" spans="1:3" x14ac:dyDescent="0.25">
      <c r="A165" s="268"/>
      <c r="B165" s="268"/>
      <c r="C165" s="115"/>
    </row>
    <row r="166" spans="1:3" x14ac:dyDescent="0.25">
      <c r="A166" s="6" t="s">
        <v>7</v>
      </c>
      <c r="B166" s="6" t="s">
        <v>8</v>
      </c>
      <c r="C166" s="8" t="s">
        <v>24</v>
      </c>
    </row>
    <row r="167" spans="1:3" x14ac:dyDescent="0.25">
      <c r="A167" s="260">
        <v>2012</v>
      </c>
      <c r="B167" s="12" t="s">
        <v>0</v>
      </c>
      <c r="C167" s="18" t="e">
        <f>Sick_Leave!C47/IncidenceComplications!H4</f>
        <v>#DIV/0!</v>
      </c>
    </row>
    <row r="168" spans="1:3" x14ac:dyDescent="0.25">
      <c r="A168" s="261"/>
      <c r="B168" s="5" t="s">
        <v>1</v>
      </c>
      <c r="C168" s="18">
        <f>Sick_Leave!C48/IncidenceComplications!H5</f>
        <v>0</v>
      </c>
    </row>
    <row r="169" spans="1:3" x14ac:dyDescent="0.25">
      <c r="A169" s="261"/>
      <c r="B169" s="5" t="s">
        <v>2</v>
      </c>
      <c r="C169" s="18">
        <f>Sick_Leave!C49/IncidenceComplications!H6</f>
        <v>0</v>
      </c>
    </row>
    <row r="170" spans="1:3" x14ac:dyDescent="0.25">
      <c r="A170" s="261"/>
      <c r="B170" s="5" t="s">
        <v>3</v>
      </c>
      <c r="C170" s="18">
        <f>Sick_Leave!C50/IncidenceComplications!H7</f>
        <v>0.36206896551724138</v>
      </c>
    </row>
    <row r="171" spans="1:3" x14ac:dyDescent="0.25">
      <c r="A171" s="261"/>
      <c r="B171" s="5" t="s">
        <v>4</v>
      </c>
      <c r="C171" s="18">
        <f>Sick_Leave!C51/IncidenceComplications!H8</f>
        <v>0.40609318996415772</v>
      </c>
    </row>
    <row r="172" spans="1:3" x14ac:dyDescent="0.25">
      <c r="A172" s="261"/>
      <c r="B172" s="5" t="s">
        <v>5</v>
      </c>
      <c r="C172" s="18">
        <f>Sick_Leave!C52/IncidenceComplications!H9</f>
        <v>0.4934359438660027</v>
      </c>
    </row>
    <row r="173" spans="1:3" x14ac:dyDescent="0.25">
      <c r="A173" s="261"/>
      <c r="B173" s="6" t="s">
        <v>6</v>
      </c>
      <c r="C173" s="18">
        <f>Sick_Leave!C53/IncidenceComplications!H10</f>
        <v>0.12537441163885324</v>
      </c>
    </row>
    <row r="174" spans="1:3" ht="15.75" thickBot="1" x14ac:dyDescent="0.3">
      <c r="A174" s="262"/>
      <c r="B174" s="15" t="s">
        <v>14</v>
      </c>
      <c r="C174" s="18">
        <f>Sick_Leave!C54/IncidenceComplications!H11</f>
        <v>0.41230823905703962</v>
      </c>
    </row>
    <row r="175" spans="1:3" ht="15.75" thickTop="1" x14ac:dyDescent="0.25">
      <c r="A175" s="263">
        <v>2013</v>
      </c>
      <c r="B175" s="5" t="s">
        <v>0</v>
      </c>
      <c r="C175" s="18" t="e">
        <f>Sick_Leave!C55/IncidenceComplications!H12</f>
        <v>#DIV/0!</v>
      </c>
    </row>
    <row r="176" spans="1:3" x14ac:dyDescent="0.25">
      <c r="A176" s="261"/>
      <c r="B176" s="5" t="s">
        <v>1</v>
      </c>
      <c r="C176" s="18">
        <f>Sick_Leave!C56/IncidenceComplications!H13</f>
        <v>0</v>
      </c>
    </row>
    <row r="177" spans="1:3" x14ac:dyDescent="0.25">
      <c r="A177" s="261"/>
      <c r="B177" s="5" t="s">
        <v>2</v>
      </c>
      <c r="C177" s="18">
        <f>Sick_Leave!C57/IncidenceComplications!H14</f>
        <v>0</v>
      </c>
    </row>
    <row r="178" spans="1:3" x14ac:dyDescent="0.25">
      <c r="A178" s="261"/>
      <c r="B178" s="5" t="s">
        <v>3</v>
      </c>
      <c r="C178" s="18">
        <f>Sick_Leave!C58/IncidenceComplications!H15</f>
        <v>0.28820960698689957</v>
      </c>
    </row>
    <row r="179" spans="1:3" x14ac:dyDescent="0.25">
      <c r="A179" s="261"/>
      <c r="B179" s="5" t="s">
        <v>4</v>
      </c>
      <c r="C179" s="18">
        <f>Sick_Leave!C59/IncidenceComplications!H16</f>
        <v>0.43434743831136657</v>
      </c>
    </row>
    <row r="180" spans="1:3" x14ac:dyDescent="0.25">
      <c r="A180" s="261"/>
      <c r="B180" s="5" t="s">
        <v>5</v>
      </c>
      <c r="C180" s="18">
        <f>Sick_Leave!C60/IncidenceComplications!H17</f>
        <v>0.55812053115423899</v>
      </c>
    </row>
    <row r="181" spans="1:3" x14ac:dyDescent="0.25">
      <c r="A181" s="261"/>
      <c r="B181" s="6" t="s">
        <v>6</v>
      </c>
      <c r="C181" s="18">
        <f>Sick_Leave!C61/IncidenceComplications!H18</f>
        <v>0.18567839195979899</v>
      </c>
    </row>
    <row r="182" spans="1:3" ht="15.75" thickBot="1" x14ac:dyDescent="0.3">
      <c r="A182" s="262"/>
      <c r="B182" s="15" t="s">
        <v>14</v>
      </c>
      <c r="C182" s="18">
        <f>Sick_Leave!C62/IncidenceComplications!H19</f>
        <v>0.47494989979959917</v>
      </c>
    </row>
    <row r="183" spans="1:3" ht="15.75" thickTop="1" x14ac:dyDescent="0.25">
      <c r="A183" s="263">
        <v>2014</v>
      </c>
      <c r="B183" s="5" t="s">
        <v>0</v>
      </c>
      <c r="C183" s="18">
        <f>Sick_Leave!C63/IncidenceComplications!H20</f>
        <v>0</v>
      </c>
    </row>
    <row r="184" spans="1:3" x14ac:dyDescent="0.25">
      <c r="A184" s="261"/>
      <c r="B184" s="5" t="s">
        <v>1</v>
      </c>
      <c r="C184" s="18">
        <f>Sick_Leave!C64/IncidenceComplications!H21</f>
        <v>0</v>
      </c>
    </row>
    <row r="185" spans="1:3" x14ac:dyDescent="0.25">
      <c r="A185" s="261"/>
      <c r="B185" s="5" t="s">
        <v>2</v>
      </c>
      <c r="C185" s="18">
        <f>Sick_Leave!C65/IncidenceComplications!H22</f>
        <v>0</v>
      </c>
    </row>
    <row r="186" spans="1:3" x14ac:dyDescent="0.25">
      <c r="A186" s="261"/>
      <c r="B186" s="5" t="s">
        <v>3</v>
      </c>
      <c r="C186" s="18">
        <f>Sick_Leave!C66/IncidenceComplications!H23</f>
        <v>0.40707964601769914</v>
      </c>
    </row>
    <row r="187" spans="1:3" x14ac:dyDescent="0.25">
      <c r="A187" s="261"/>
      <c r="B187" s="5" t="s">
        <v>4</v>
      </c>
      <c r="C187" s="18">
        <f>Sick_Leave!C67/IncidenceComplications!H24</f>
        <v>0.40682137834036569</v>
      </c>
    </row>
    <row r="188" spans="1:3" x14ac:dyDescent="0.25">
      <c r="A188" s="261"/>
      <c r="B188" s="5" t="s">
        <v>5</v>
      </c>
      <c r="C188" s="18">
        <f>Sick_Leave!C68/IncidenceComplications!H25</f>
        <v>0.49285549665821615</v>
      </c>
    </row>
    <row r="189" spans="1:3" x14ac:dyDescent="0.25">
      <c r="A189" s="261"/>
      <c r="B189" s="6" t="s">
        <v>6</v>
      </c>
      <c r="C189" s="18">
        <f>Sick_Leave!C69/IncidenceComplications!H26</f>
        <v>0.1294661622530475</v>
      </c>
    </row>
    <row r="190" spans="1:3" ht="15.75" thickBot="1" x14ac:dyDescent="0.3">
      <c r="A190" s="262"/>
      <c r="B190" s="15" t="s">
        <v>14</v>
      </c>
      <c r="C190" s="18">
        <f>Sick_Leave!C70/IncidenceComplications!H27</f>
        <v>0.41167753408417307</v>
      </c>
    </row>
    <row r="191" spans="1:3" ht="16.5" thickTop="1" thickBot="1" x14ac:dyDescent="0.3">
      <c r="A191" s="259" t="s">
        <v>14</v>
      </c>
      <c r="B191" s="259"/>
      <c r="C191" s="18">
        <f>Sick_Leave!C71/IncidenceComplications!H28</f>
        <v>0.44355470192804908</v>
      </c>
    </row>
    <row r="192" spans="1:3" x14ac:dyDescent="0.25">
      <c r="A192" s="273" t="s">
        <v>35</v>
      </c>
      <c r="B192" s="5" t="s">
        <v>0</v>
      </c>
      <c r="C192" s="18">
        <f>Sick_Leave!C72/IncidenceComplications!H29</f>
        <v>0</v>
      </c>
    </row>
    <row r="193" spans="1:3" x14ac:dyDescent="0.25">
      <c r="A193" s="261"/>
      <c r="B193" s="5" t="s">
        <v>1</v>
      </c>
      <c r="C193" s="18">
        <f>Sick_Leave!C73/IncidenceComplications!H30</f>
        <v>0</v>
      </c>
    </row>
    <row r="194" spans="1:3" x14ac:dyDescent="0.25">
      <c r="A194" s="261"/>
      <c r="B194" s="5" t="s">
        <v>2</v>
      </c>
      <c r="C194" s="18">
        <f>Sick_Leave!C74/IncidenceComplications!H31</f>
        <v>0</v>
      </c>
    </row>
    <row r="195" spans="1:3" x14ac:dyDescent="0.25">
      <c r="A195" s="261"/>
      <c r="B195" s="5" t="s">
        <v>3</v>
      </c>
      <c r="C195" s="18">
        <f>Sick_Leave!C75/IncidenceComplications!H32</f>
        <v>0.33624454148471616</v>
      </c>
    </row>
    <row r="196" spans="1:3" x14ac:dyDescent="0.25">
      <c r="A196" s="261"/>
      <c r="B196" s="5" t="s">
        <v>4</v>
      </c>
      <c r="C196" s="18">
        <f>Sick_Leave!C76/IncidenceComplications!H33</f>
        <v>0.41963575073739406</v>
      </c>
    </row>
    <row r="197" spans="1:3" x14ac:dyDescent="0.25">
      <c r="A197" s="261"/>
      <c r="B197" s="5" t="s">
        <v>5</v>
      </c>
      <c r="C197" s="18">
        <f>Sick_Leave!C77/IncidenceComplications!H34</f>
        <v>0.52744379144875186</v>
      </c>
    </row>
    <row r="198" spans="1:3" x14ac:dyDescent="0.25">
      <c r="A198" s="261"/>
      <c r="B198" s="6" t="s">
        <v>6</v>
      </c>
      <c r="C198" s="18">
        <f>Sick_Leave!C78/IncidenceComplications!H35</f>
        <v>0.15409383624655013</v>
      </c>
    </row>
    <row r="199" spans="1:3" ht="15.75" thickBot="1" x14ac:dyDescent="0.3">
      <c r="A199" s="262"/>
      <c r="B199" s="15" t="s">
        <v>14</v>
      </c>
      <c r="C199" s="18">
        <f>Sick_Leave!C79/IncidenceComplications!H36</f>
        <v>0.44355470192804908</v>
      </c>
    </row>
    <row r="200" spans="1:3" ht="15.75" thickTop="1" x14ac:dyDescent="0.25">
      <c r="A200" s="115"/>
      <c r="B200" s="115"/>
    </row>
    <row r="201" spans="1:3" x14ac:dyDescent="0.25">
      <c r="A201" s="115"/>
      <c r="B201" s="115"/>
    </row>
    <row r="202" spans="1:3" x14ac:dyDescent="0.25">
      <c r="A202" s="115"/>
      <c r="B202" s="115"/>
    </row>
    <row r="203" spans="1:3" x14ac:dyDescent="0.25">
      <c r="A203" s="268" t="s">
        <v>36</v>
      </c>
      <c r="B203" s="268"/>
      <c r="C203" s="115"/>
    </row>
    <row r="204" spans="1:3" x14ac:dyDescent="0.25">
      <c r="A204" s="268"/>
      <c r="B204" s="268"/>
      <c r="C204" s="115"/>
    </row>
    <row r="205" spans="1:3" x14ac:dyDescent="0.25">
      <c r="A205" s="268"/>
      <c r="B205" s="268"/>
      <c r="C205" s="115"/>
    </row>
    <row r="206" spans="1:3" x14ac:dyDescent="0.25">
      <c r="A206" s="6" t="s">
        <v>7</v>
      </c>
      <c r="B206" s="6" t="s">
        <v>8</v>
      </c>
      <c r="C206" s="8" t="s">
        <v>24</v>
      </c>
    </row>
    <row r="207" spans="1:3" x14ac:dyDescent="0.25">
      <c r="A207" s="260">
        <v>2012</v>
      </c>
      <c r="B207" s="12" t="s">
        <v>0</v>
      </c>
      <c r="C207" s="18">
        <f>Sick_Leave!C87/IncidenceComplications!I4</f>
        <v>0</v>
      </c>
    </row>
    <row r="208" spans="1:3" x14ac:dyDescent="0.25">
      <c r="A208" s="261"/>
      <c r="B208" s="5" t="s">
        <v>1</v>
      </c>
      <c r="C208" s="18">
        <f>Sick_Leave!C88/IncidenceComplications!I5</f>
        <v>0</v>
      </c>
    </row>
    <row r="209" spans="1:3" x14ac:dyDescent="0.25">
      <c r="A209" s="261"/>
      <c r="B209" s="5" t="s">
        <v>2</v>
      </c>
      <c r="C209" s="18">
        <f>Sick_Leave!C89/IncidenceComplications!I6</f>
        <v>0</v>
      </c>
    </row>
    <row r="210" spans="1:3" x14ac:dyDescent="0.25">
      <c r="A210" s="261"/>
      <c r="B210" s="5" t="s">
        <v>3</v>
      </c>
      <c r="C210" s="18">
        <f>Sick_Leave!C90/IncidenceComplications!I7</f>
        <v>0</v>
      </c>
    </row>
    <row r="211" spans="1:3" x14ac:dyDescent="0.25">
      <c r="A211" s="261"/>
      <c r="B211" s="5" t="s">
        <v>4</v>
      </c>
      <c r="C211" s="18">
        <f>Sick_Leave!C91/IncidenceComplications!I8</f>
        <v>8.9128305582761996E-2</v>
      </c>
    </row>
    <row r="212" spans="1:3" x14ac:dyDescent="0.25">
      <c r="A212" s="261"/>
      <c r="B212" s="5" t="s">
        <v>5</v>
      </c>
      <c r="C212" s="18">
        <f>Sick_Leave!C92/IncidenceComplications!I9</f>
        <v>0.1059190031152648</v>
      </c>
    </row>
    <row r="213" spans="1:3" x14ac:dyDescent="0.25">
      <c r="A213" s="261"/>
      <c r="B213" s="6" t="s">
        <v>6</v>
      </c>
      <c r="C213" s="18">
        <f>Sick_Leave!C93/IncidenceComplications!I10</f>
        <v>2.1126760563380281E-2</v>
      </c>
    </row>
    <row r="214" spans="1:3" ht="15.75" thickBot="1" x14ac:dyDescent="0.3">
      <c r="A214" s="262"/>
      <c r="B214" s="15" t="s">
        <v>14</v>
      </c>
      <c r="C214" s="18">
        <f>Sick_Leave!C94/IncidenceComplications!I11</f>
        <v>2.3757149142102949E-2</v>
      </c>
    </row>
    <row r="215" spans="1:3" ht="15.75" thickTop="1" x14ac:dyDescent="0.25">
      <c r="A215" s="263">
        <v>2013</v>
      </c>
      <c r="B215" s="5" t="s">
        <v>0</v>
      </c>
      <c r="C215" s="18">
        <f>Sick_Leave!C95/IncidenceComplications!I12</f>
        <v>0</v>
      </c>
    </row>
    <row r="216" spans="1:3" x14ac:dyDescent="0.25">
      <c r="A216" s="261"/>
      <c r="B216" s="5" t="s">
        <v>1</v>
      </c>
      <c r="C216" s="18">
        <f>Sick_Leave!C96/IncidenceComplications!I13</f>
        <v>0</v>
      </c>
    </row>
    <row r="217" spans="1:3" x14ac:dyDescent="0.25">
      <c r="A217" s="261"/>
      <c r="B217" s="5" t="s">
        <v>2</v>
      </c>
      <c r="C217" s="18">
        <f>Sick_Leave!C97/IncidenceComplications!I14</f>
        <v>0</v>
      </c>
    </row>
    <row r="218" spans="1:3" x14ac:dyDescent="0.25">
      <c r="A218" s="261"/>
      <c r="B218" s="5" t="s">
        <v>3</v>
      </c>
      <c r="C218" s="18">
        <f>Sick_Leave!C98/IncidenceComplications!I15</f>
        <v>4.0062319163142665E-3</v>
      </c>
    </row>
    <row r="219" spans="1:3" x14ac:dyDescent="0.25">
      <c r="A219" s="261"/>
      <c r="B219" s="5" t="s">
        <v>4</v>
      </c>
      <c r="C219" s="18">
        <f>Sick_Leave!C99/IncidenceComplications!I16</f>
        <v>0.10243055555555555</v>
      </c>
    </row>
    <row r="220" spans="1:3" x14ac:dyDescent="0.25">
      <c r="A220" s="261"/>
      <c r="B220" s="5" t="s">
        <v>5</v>
      </c>
      <c r="C220" s="18">
        <f>Sick_Leave!C100/IncidenceComplications!I17</f>
        <v>0.14352211016291699</v>
      </c>
    </row>
    <row r="221" spans="1:3" x14ac:dyDescent="0.25">
      <c r="A221" s="261"/>
      <c r="B221" s="6" t="s">
        <v>6</v>
      </c>
      <c r="C221" s="18">
        <f>Sick_Leave!C101/IncidenceComplications!I18</f>
        <v>3.3707865168539325E-2</v>
      </c>
    </row>
    <row r="222" spans="1:3" ht="15.75" thickBot="1" x14ac:dyDescent="0.3">
      <c r="A222" s="262"/>
      <c r="B222" s="15" t="s">
        <v>14</v>
      </c>
      <c r="C222" s="18">
        <f>Sick_Leave!C102/IncidenceComplications!I19</f>
        <v>2.618823212602666E-2</v>
      </c>
    </row>
    <row r="223" spans="1:3" ht="15.75" thickTop="1" x14ac:dyDescent="0.25">
      <c r="A223" s="263">
        <v>2014</v>
      </c>
      <c r="B223" s="5" t="s">
        <v>0</v>
      </c>
      <c r="C223" s="18">
        <f>Sick_Leave!C103/IncidenceComplications!I20</f>
        <v>0</v>
      </c>
    </row>
    <row r="224" spans="1:3" x14ac:dyDescent="0.25">
      <c r="A224" s="261"/>
      <c r="B224" s="5" t="s">
        <v>1</v>
      </c>
      <c r="C224" s="18">
        <f>Sick_Leave!C104/IncidenceComplications!I21</f>
        <v>0</v>
      </c>
    </row>
    <row r="225" spans="1:3" x14ac:dyDescent="0.25">
      <c r="A225" s="261"/>
      <c r="B225" s="5" t="s">
        <v>2</v>
      </c>
      <c r="C225" s="18">
        <f>Sick_Leave!C105/IncidenceComplications!I22</f>
        <v>0</v>
      </c>
    </row>
    <row r="226" spans="1:3" x14ac:dyDescent="0.25">
      <c r="A226" s="261"/>
      <c r="B226" s="5" t="s">
        <v>3</v>
      </c>
      <c r="C226" s="18">
        <f>Sick_Leave!C106/IncidenceComplications!I23</f>
        <v>7.8023407022106634E-3</v>
      </c>
    </row>
    <row r="227" spans="1:3" x14ac:dyDescent="0.25">
      <c r="A227" s="261"/>
      <c r="B227" s="5" t="s">
        <v>4</v>
      </c>
      <c r="C227" s="18">
        <f>Sick_Leave!C107/IncidenceComplications!I24</f>
        <v>0.10410094637223975</v>
      </c>
    </row>
    <row r="228" spans="1:3" x14ac:dyDescent="0.25">
      <c r="A228" s="261"/>
      <c r="B228" s="5" t="s">
        <v>5</v>
      </c>
      <c r="C228" s="18">
        <f>Sick_Leave!C108/IncidenceComplications!I25</f>
        <v>0.12055335968379446</v>
      </c>
    </row>
    <row r="229" spans="1:3" x14ac:dyDescent="0.25">
      <c r="A229" s="261"/>
      <c r="B229" s="6" t="s">
        <v>6</v>
      </c>
      <c r="C229" s="18">
        <f>Sick_Leave!C109/IncidenceComplications!I26</f>
        <v>8.0357142857142863E-2</v>
      </c>
    </row>
    <row r="230" spans="1:3" ht="15.75" thickBot="1" x14ac:dyDescent="0.3">
      <c r="A230" s="262"/>
      <c r="B230" s="15" t="s">
        <v>14</v>
      </c>
      <c r="C230" s="18">
        <f>Sick_Leave!C110/IncidenceComplications!I27</f>
        <v>3.1582620834060375E-2</v>
      </c>
    </row>
    <row r="231" spans="1:3" ht="16.5" thickTop="1" thickBot="1" x14ac:dyDescent="0.3">
      <c r="A231" s="259" t="s">
        <v>14</v>
      </c>
      <c r="B231" s="259"/>
      <c r="C231" s="18">
        <f>Sick_Leave!C111/IncidenceComplications!I28</f>
        <v>2.6711428988468837E-2</v>
      </c>
    </row>
    <row r="232" spans="1:3" x14ac:dyDescent="0.25">
      <c r="A232" s="273" t="s">
        <v>35</v>
      </c>
      <c r="B232" s="5" t="s">
        <v>0</v>
      </c>
      <c r="C232" s="18">
        <f>Sick_Leave!C112/IncidenceComplications!I29</f>
        <v>0</v>
      </c>
    </row>
    <row r="233" spans="1:3" x14ac:dyDescent="0.25">
      <c r="A233" s="261"/>
      <c r="B233" s="5" t="s">
        <v>1</v>
      </c>
      <c r="C233" s="18">
        <f>Sick_Leave!C113/IncidenceComplications!I30</f>
        <v>0</v>
      </c>
    </row>
    <row r="234" spans="1:3" x14ac:dyDescent="0.25">
      <c r="A234" s="261"/>
      <c r="B234" s="5" t="s">
        <v>2</v>
      </c>
      <c r="C234" s="18">
        <f>Sick_Leave!C114/IncidenceComplications!I31</f>
        <v>0</v>
      </c>
    </row>
    <row r="235" spans="1:3" x14ac:dyDescent="0.25">
      <c r="A235" s="261"/>
      <c r="B235" s="5" t="s">
        <v>3</v>
      </c>
      <c r="C235" s="18">
        <f>Sick_Leave!C115/IncidenceComplications!I32</f>
        <v>0</v>
      </c>
    </row>
    <row r="236" spans="1:3" x14ac:dyDescent="0.25">
      <c r="A236" s="261"/>
      <c r="B236" s="5" t="s">
        <v>4</v>
      </c>
      <c r="C236" s="18">
        <f>Sick_Leave!C116/IncidenceComplications!I33</f>
        <v>9.9189189189189189E-2</v>
      </c>
    </row>
    <row r="237" spans="1:3" x14ac:dyDescent="0.25">
      <c r="A237" s="261"/>
      <c r="B237" s="5" t="s">
        <v>5</v>
      </c>
      <c r="C237" s="18">
        <f>Sick_Leave!C117/IncidenceComplications!I34</f>
        <v>0.128846942962659</v>
      </c>
    </row>
    <row r="238" spans="1:3" x14ac:dyDescent="0.25">
      <c r="A238" s="261"/>
      <c r="B238" s="6" t="s">
        <v>6</v>
      </c>
      <c r="C238" s="18">
        <f>Sick_Leave!C118/IncidenceComplications!I35</f>
        <v>4.0307101727447218E-2</v>
      </c>
    </row>
    <row r="239" spans="1:3" ht="15.75" thickBot="1" x14ac:dyDescent="0.3">
      <c r="A239" s="262"/>
      <c r="B239" s="15" t="s">
        <v>14</v>
      </c>
      <c r="C239" s="18">
        <f>Sick_Leave!C119/IncidenceComplications!I36</f>
        <v>2.5616698292220113E-2</v>
      </c>
    </row>
    <row r="240" spans="1:3" ht="15.75" thickTop="1" x14ac:dyDescent="0.25"/>
  </sheetData>
  <mergeCells count="117">
    <mergeCell ref="A123:B125"/>
    <mergeCell ref="A167:A174"/>
    <mergeCell ref="A175:A182"/>
    <mergeCell ref="A183:A190"/>
    <mergeCell ref="A191:B191"/>
    <mergeCell ref="A127:A134"/>
    <mergeCell ref="A135:A142"/>
    <mergeCell ref="A143:A150"/>
    <mergeCell ref="A151:B151"/>
    <mergeCell ref="A152:A159"/>
    <mergeCell ref="O5:P5"/>
    <mergeCell ref="S5:T5"/>
    <mergeCell ref="A231:B231"/>
    <mergeCell ref="A232:A239"/>
    <mergeCell ref="A192:A199"/>
    <mergeCell ref="A203:B205"/>
    <mergeCell ref="A207:A214"/>
    <mergeCell ref="A215:A222"/>
    <mergeCell ref="A223:A230"/>
    <mergeCell ref="A163:B165"/>
    <mergeCell ref="A23:A30"/>
    <mergeCell ref="A31:B31"/>
    <mergeCell ref="A32:A39"/>
    <mergeCell ref="A3:B5"/>
    <mergeCell ref="A43:B45"/>
    <mergeCell ref="A47:A54"/>
    <mergeCell ref="A55:A62"/>
    <mergeCell ref="A63:A70"/>
    <mergeCell ref="A71:B71"/>
    <mergeCell ref="A15:A22"/>
    <mergeCell ref="A7:A14"/>
    <mergeCell ref="M5:N5"/>
    <mergeCell ref="C43:D45"/>
    <mergeCell ref="E43:P43"/>
    <mergeCell ref="AO5:AP5"/>
    <mergeCell ref="AQ5:AR5"/>
    <mergeCell ref="C3:D5"/>
    <mergeCell ref="E3:P3"/>
    <mergeCell ref="Q3:AD3"/>
    <mergeCell ref="AE3:AR3"/>
    <mergeCell ref="E4:J4"/>
    <mergeCell ref="K4:P4"/>
    <mergeCell ref="Q4:R5"/>
    <mergeCell ref="AE4:AF5"/>
    <mergeCell ref="AK5:AL5"/>
    <mergeCell ref="AM5:AN5"/>
    <mergeCell ref="E5:F5"/>
    <mergeCell ref="G5:H5"/>
    <mergeCell ref="I5:J5"/>
    <mergeCell ref="K5:L5"/>
    <mergeCell ref="Y5:Z5"/>
    <mergeCell ref="AA5:AB5"/>
    <mergeCell ref="AC5:AD5"/>
    <mergeCell ref="AG5:AH5"/>
    <mergeCell ref="AI5:AJ5"/>
    <mergeCell ref="U5:V5"/>
    <mergeCell ref="S4:X4"/>
    <mergeCell ref="W5:X5"/>
    <mergeCell ref="G45:H45"/>
    <mergeCell ref="I45:J45"/>
    <mergeCell ref="K45:L45"/>
    <mergeCell ref="M45:N45"/>
    <mergeCell ref="O45:P45"/>
    <mergeCell ref="AE83:AR83"/>
    <mergeCell ref="AG45:AH45"/>
    <mergeCell ref="AI45:AJ45"/>
    <mergeCell ref="AK45:AL45"/>
    <mergeCell ref="AM45:AN45"/>
    <mergeCell ref="AO45:AP45"/>
    <mergeCell ref="AQ45:AR45"/>
    <mergeCell ref="AE43:AR43"/>
    <mergeCell ref="Q44:R45"/>
    <mergeCell ref="S44:X44"/>
    <mergeCell ref="AE44:AF45"/>
    <mergeCell ref="S45:T45"/>
    <mergeCell ref="U45:V45"/>
    <mergeCell ref="W45:X45"/>
    <mergeCell ref="Y45:Z45"/>
    <mergeCell ref="AA45:AB45"/>
    <mergeCell ref="AC45:AD45"/>
    <mergeCell ref="A87:A94"/>
    <mergeCell ref="A95:A102"/>
    <mergeCell ref="A103:A110"/>
    <mergeCell ref="A111:B111"/>
    <mergeCell ref="A112:A119"/>
    <mergeCell ref="Q43:AD43"/>
    <mergeCell ref="Q83:AD83"/>
    <mergeCell ref="M85:N85"/>
    <mergeCell ref="O85:P85"/>
    <mergeCell ref="A72:A79"/>
    <mergeCell ref="Q84:R85"/>
    <mergeCell ref="S84:X84"/>
    <mergeCell ref="A83:B85"/>
    <mergeCell ref="C83:D85"/>
    <mergeCell ref="E83:P83"/>
    <mergeCell ref="E84:J84"/>
    <mergeCell ref="K84:P84"/>
    <mergeCell ref="E85:F85"/>
    <mergeCell ref="G85:H85"/>
    <mergeCell ref="I85:J85"/>
    <mergeCell ref="K85:L85"/>
    <mergeCell ref="E44:J44"/>
    <mergeCell ref="K44:P44"/>
    <mergeCell ref="E45:F45"/>
    <mergeCell ref="AK85:AL85"/>
    <mergeCell ref="AM85:AN85"/>
    <mergeCell ref="AO85:AP85"/>
    <mergeCell ref="AQ85:AR85"/>
    <mergeCell ref="AE84:AF85"/>
    <mergeCell ref="S85:T85"/>
    <mergeCell ref="U85:V85"/>
    <mergeCell ref="W85:X85"/>
    <mergeCell ref="Y85:Z85"/>
    <mergeCell ref="AA85:AB85"/>
    <mergeCell ref="AC85:AD85"/>
    <mergeCell ref="AG85:AH85"/>
    <mergeCell ref="AI85:AJ8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E12" sqref="E12"/>
    </sheetView>
  </sheetViews>
  <sheetFormatPr baseColWidth="10" defaultRowHeight="15" x14ac:dyDescent="0.25"/>
  <cols>
    <col min="1" max="1" width="14.42578125" bestFit="1" customWidth="1"/>
    <col min="2" max="2" width="16.28515625" bestFit="1" customWidth="1"/>
    <col min="3" max="3" width="15.42578125" bestFit="1" customWidth="1"/>
  </cols>
  <sheetData>
    <row r="1" spans="1:4" s="115" customFormat="1" x14ac:dyDescent="0.25">
      <c r="A1" s="283" t="s">
        <v>91</v>
      </c>
      <c r="B1" s="283"/>
      <c r="C1" s="283"/>
    </row>
    <row r="2" spans="1:4" s="115" customFormat="1" x14ac:dyDescent="0.25">
      <c r="A2" s="249" t="s">
        <v>7</v>
      </c>
      <c r="B2" s="249" t="s">
        <v>92</v>
      </c>
      <c r="C2" s="249" t="s">
        <v>93</v>
      </c>
    </row>
    <row r="3" spans="1:4" s="115" customFormat="1" x14ac:dyDescent="0.25">
      <c r="A3" s="249">
        <v>2012</v>
      </c>
      <c r="B3">
        <v>1.081</v>
      </c>
      <c r="C3">
        <v>1</v>
      </c>
    </row>
    <row r="4" spans="1:4" x14ac:dyDescent="0.25">
      <c r="A4" s="249">
        <v>2013</v>
      </c>
      <c r="B4">
        <v>0.98040000000000005</v>
      </c>
      <c r="C4" s="115">
        <f>1/B3</f>
        <v>0.92506938020351526</v>
      </c>
    </row>
    <row r="5" spans="1:4" x14ac:dyDescent="0.25">
      <c r="A5" s="249">
        <v>2014</v>
      </c>
      <c r="B5">
        <v>1</v>
      </c>
      <c r="C5">
        <f>1/B4</f>
        <v>1.0199918400652794</v>
      </c>
    </row>
    <row r="6" spans="1:4" s="115" customFormat="1" x14ac:dyDescent="0.25">
      <c r="A6" s="249"/>
    </row>
    <row r="7" spans="1:4" s="115" customFormat="1" x14ac:dyDescent="0.25">
      <c r="A7" s="283" t="s">
        <v>94</v>
      </c>
      <c r="B7" s="283"/>
      <c r="C7" s="283"/>
    </row>
    <row r="8" spans="1:4" x14ac:dyDescent="0.25">
      <c r="A8" s="249" t="s">
        <v>8</v>
      </c>
      <c r="B8" s="249" t="s">
        <v>96</v>
      </c>
      <c r="C8" s="249" t="s">
        <v>95</v>
      </c>
    </row>
    <row r="9" spans="1:4" x14ac:dyDescent="0.25">
      <c r="A9" s="249" t="s">
        <v>98</v>
      </c>
      <c r="B9" s="247">
        <v>3396808</v>
      </c>
      <c r="C9" s="225">
        <v>1132</v>
      </c>
      <c r="D9" s="1"/>
    </row>
    <row r="10" spans="1:4" x14ac:dyDescent="0.25">
      <c r="A10" s="249" t="s">
        <v>53</v>
      </c>
      <c r="B10" s="247">
        <v>3715248</v>
      </c>
      <c r="C10" s="225">
        <v>2046</v>
      </c>
      <c r="D10" s="1"/>
    </row>
    <row r="11" spans="1:4" x14ac:dyDescent="0.25">
      <c r="A11" s="249" t="s">
        <v>54</v>
      </c>
      <c r="B11" s="247">
        <v>3720100</v>
      </c>
      <c r="C11" s="225">
        <v>2510</v>
      </c>
      <c r="D11" s="1"/>
    </row>
    <row r="12" spans="1:4" x14ac:dyDescent="0.25">
      <c r="A12" s="249" t="s">
        <v>55</v>
      </c>
      <c r="B12" s="247">
        <v>3606840</v>
      </c>
      <c r="C12" s="225">
        <v>2635</v>
      </c>
      <c r="D12" s="1"/>
    </row>
    <row r="13" spans="1:4" x14ac:dyDescent="0.25">
      <c r="A13" s="249" t="s">
        <v>56</v>
      </c>
      <c r="B13" s="247">
        <v>4102080</v>
      </c>
      <c r="C13" s="225">
        <v>2712</v>
      </c>
      <c r="D13" s="1"/>
    </row>
    <row r="14" spans="1:4" x14ac:dyDescent="0.25">
      <c r="A14" s="249" t="s">
        <v>57</v>
      </c>
      <c r="B14" s="247">
        <v>5400341</v>
      </c>
      <c r="C14" s="225">
        <v>2823</v>
      </c>
      <c r="D14" s="1"/>
    </row>
    <row r="15" spans="1:4" x14ac:dyDescent="0.25">
      <c r="A15" s="249" t="s">
        <v>58</v>
      </c>
      <c r="B15" s="247">
        <v>5312402</v>
      </c>
      <c r="C15" s="225">
        <v>2800</v>
      </c>
      <c r="D15" s="1"/>
    </row>
    <row r="16" spans="1:4" x14ac:dyDescent="0.25">
      <c r="A16" s="249" t="s">
        <v>59</v>
      </c>
      <c r="B16" s="247">
        <v>4174906</v>
      </c>
      <c r="C16" s="225">
        <v>2749</v>
      </c>
      <c r="D16" s="1"/>
    </row>
    <row r="17" spans="1:4" x14ac:dyDescent="0.25">
      <c r="A17" s="249" t="s">
        <v>60</v>
      </c>
      <c r="B17" s="247">
        <v>2650656</v>
      </c>
      <c r="C17" s="225">
        <v>2492</v>
      </c>
      <c r="D17" s="1"/>
    </row>
    <row r="18" spans="1:4" x14ac:dyDescent="0.25">
      <c r="A18" s="249" t="s">
        <v>97</v>
      </c>
      <c r="B18" s="247">
        <v>1073145</v>
      </c>
      <c r="C18" s="225">
        <v>931</v>
      </c>
      <c r="D18" s="1"/>
    </row>
    <row r="20" spans="1:4" x14ac:dyDescent="0.25">
      <c r="A20" s="250" t="s">
        <v>63</v>
      </c>
      <c r="B20">
        <v>30</v>
      </c>
    </row>
    <row r="22" spans="1:4" x14ac:dyDescent="0.25">
      <c r="C22" t="s">
        <v>61</v>
      </c>
      <c r="D22" t="s">
        <v>62</v>
      </c>
    </row>
    <row r="23" spans="1:4" x14ac:dyDescent="0.25">
      <c r="A23" s="268">
        <v>2012</v>
      </c>
      <c r="B23" s="115" t="s">
        <v>0</v>
      </c>
      <c r="C23" s="115"/>
      <c r="D23" s="115"/>
    </row>
    <row r="24" spans="1:4" x14ac:dyDescent="0.25">
      <c r="A24" s="268"/>
      <c r="B24" s="115" t="s">
        <v>1</v>
      </c>
      <c r="C24" s="115"/>
      <c r="D24" s="115"/>
    </row>
    <row r="25" spans="1:4" x14ac:dyDescent="0.25">
      <c r="A25" s="268"/>
      <c r="B25" s="115" t="s">
        <v>2</v>
      </c>
      <c r="C25" s="115"/>
      <c r="D25" s="115"/>
    </row>
    <row r="26" spans="1:4" x14ac:dyDescent="0.25">
      <c r="A26" s="268"/>
      <c r="B26" s="115" t="s">
        <v>3</v>
      </c>
      <c r="C26" s="248">
        <f>C9*B3</f>
        <v>1223.692</v>
      </c>
      <c r="D26" s="248">
        <f>C26/$B$20</f>
        <v>40.789733333333331</v>
      </c>
    </row>
    <row r="27" spans="1:4" x14ac:dyDescent="0.25">
      <c r="A27" s="268"/>
      <c r="B27" s="115" t="s">
        <v>4</v>
      </c>
      <c r="C27" s="248">
        <f t="array" ref="C27">(SUM(B9:B11*C9:C11)/SUM(B9:B11))*$B$3</f>
        <v>2074.1523574978055</v>
      </c>
      <c r="D27" s="248">
        <f>C27/$B$20</f>
        <v>69.138411916593512</v>
      </c>
    </row>
    <row r="28" spans="1:4" x14ac:dyDescent="0.25">
      <c r="A28" s="268"/>
      <c r="B28" s="115" t="s">
        <v>5</v>
      </c>
      <c r="C28" s="248">
        <f t="array" ref="C28">(SUM(B12:B16*C12:C16)/SUM(B12:B16))*B3</f>
        <v>2976.8165380309283</v>
      </c>
      <c r="D28" s="248">
        <f>C28/$B$20</f>
        <v>99.227217934364276</v>
      </c>
    </row>
    <row r="29" spans="1:4" x14ac:dyDescent="0.25">
      <c r="A29" s="268"/>
      <c r="B29" s="115" t="s">
        <v>6</v>
      </c>
      <c r="C29" s="248">
        <f t="array" ref="C29">((C17*B17+C18*B18)/(B17+B18))*$B$3</f>
        <v>2207.5561770102645</v>
      </c>
      <c r="D29" s="248">
        <f>C29/$B$20</f>
        <v>73.585205900342146</v>
      </c>
    </row>
    <row r="30" spans="1:4" x14ac:dyDescent="0.25">
      <c r="C30" s="248"/>
      <c r="D30" s="248"/>
    </row>
    <row r="31" spans="1:4" x14ac:dyDescent="0.25">
      <c r="A31" s="268">
        <v>2013</v>
      </c>
      <c r="B31" s="115" t="s">
        <v>0</v>
      </c>
      <c r="C31" s="248"/>
      <c r="D31" s="248"/>
    </row>
    <row r="32" spans="1:4" x14ac:dyDescent="0.25">
      <c r="A32" s="268"/>
      <c r="B32" s="115" t="s">
        <v>1</v>
      </c>
      <c r="C32" s="248"/>
      <c r="D32" s="248"/>
    </row>
    <row r="33" spans="1:4" x14ac:dyDescent="0.25">
      <c r="A33" s="268"/>
      <c r="B33" s="115" t="s">
        <v>2</v>
      </c>
      <c r="C33" s="248"/>
      <c r="D33" s="248"/>
    </row>
    <row r="34" spans="1:4" x14ac:dyDescent="0.25">
      <c r="A34" s="268"/>
      <c r="B34" s="115" t="s">
        <v>3</v>
      </c>
      <c r="C34" s="248">
        <f>C9*B4</f>
        <v>1109.8128000000002</v>
      </c>
      <c r="D34" s="248">
        <f>C34/$B$20</f>
        <v>36.993760000000002</v>
      </c>
    </row>
    <row r="35" spans="1:4" x14ac:dyDescent="0.25">
      <c r="A35" s="268"/>
      <c r="B35" s="115" t="s">
        <v>4</v>
      </c>
      <c r="C35" s="248">
        <f t="array" ref="C35">((SUM(B9:B11*C9:C11)/SUM(B9:B11)))*$B$4</f>
        <v>1881.1276330165113</v>
      </c>
      <c r="D35" s="248">
        <f>C35/$B$20</f>
        <v>62.704254433883712</v>
      </c>
    </row>
    <row r="36" spans="1:4" x14ac:dyDescent="0.25">
      <c r="A36" s="268"/>
      <c r="B36" s="115" t="s">
        <v>5</v>
      </c>
      <c r="C36" s="248">
        <f t="array" ref="C36">(SUM(B12:B16*C12:C16)/SUM(B12:B16))*$B$4</f>
        <v>2699.7880979514543</v>
      </c>
      <c r="D36" s="248">
        <f>C36/$B$20</f>
        <v>89.992936598381817</v>
      </c>
    </row>
    <row r="37" spans="1:4" x14ac:dyDescent="0.25">
      <c r="A37" s="268"/>
      <c r="B37" s="115" t="s">
        <v>6</v>
      </c>
      <c r="C37" s="248">
        <f t="array" ref="C37">((C17*B17+C18*B18)/(B17+B18))*$B$4</f>
        <v>2002.1166289924731</v>
      </c>
      <c r="D37" s="248">
        <f>C37/$B$20</f>
        <v>66.737220966415777</v>
      </c>
    </row>
    <row r="38" spans="1:4" x14ac:dyDescent="0.25">
      <c r="C38" s="248"/>
      <c r="D38" s="248"/>
    </row>
    <row r="39" spans="1:4" x14ac:dyDescent="0.25">
      <c r="A39" s="268">
        <v>2014</v>
      </c>
      <c r="B39" t="s">
        <v>0</v>
      </c>
      <c r="C39" s="248"/>
      <c r="D39" s="248"/>
    </row>
    <row r="40" spans="1:4" x14ac:dyDescent="0.25">
      <c r="A40" s="268"/>
      <c r="B40" t="s">
        <v>1</v>
      </c>
      <c r="C40" s="248"/>
      <c r="D40" s="248"/>
    </row>
    <row r="41" spans="1:4" x14ac:dyDescent="0.25">
      <c r="A41" s="268"/>
      <c r="B41" t="s">
        <v>2</v>
      </c>
      <c r="C41" s="248"/>
      <c r="D41" s="248"/>
    </row>
    <row r="42" spans="1:4" x14ac:dyDescent="0.25">
      <c r="A42" s="268"/>
      <c r="B42" t="s">
        <v>3</v>
      </c>
      <c r="C42" s="248">
        <f>C9*B5</f>
        <v>1132</v>
      </c>
      <c r="D42" s="248">
        <f>C42/$B$20</f>
        <v>37.733333333333334</v>
      </c>
    </row>
    <row r="43" spans="1:4" x14ac:dyDescent="0.25">
      <c r="A43" s="268"/>
      <c r="B43" t="s">
        <v>4</v>
      </c>
      <c r="C43" s="248">
        <f t="array" ref="C43">SUM(B9:B11*C9:C11)/SUM(B9:B11)</f>
        <v>1918.734835798155</v>
      </c>
      <c r="D43" s="248">
        <f>C43/$B$20</f>
        <v>63.957827859938497</v>
      </c>
    </row>
    <row r="44" spans="1:4" x14ac:dyDescent="0.25">
      <c r="A44" s="268"/>
      <c r="B44" t="s">
        <v>5</v>
      </c>
      <c r="C44" s="248">
        <f t="array" ref="C44">SUM(B12:B16*C12:C16)/SUM(B12:B16)</f>
        <v>2753.761829815845</v>
      </c>
      <c r="D44" s="248">
        <f>C44/$B$20</f>
        <v>91.792060993861497</v>
      </c>
    </row>
    <row r="45" spans="1:4" x14ac:dyDescent="0.25">
      <c r="A45" s="268"/>
      <c r="B45" t="s">
        <v>6</v>
      </c>
      <c r="C45" s="248">
        <f>(C17*B17+C18*B18)/(B17+B18)</f>
        <v>2042.142624431327</v>
      </c>
      <c r="D45" s="248">
        <f>C45/$B$20</f>
        <v>68.071420814377561</v>
      </c>
    </row>
  </sheetData>
  <mergeCells count="5">
    <mergeCell ref="A39:A45"/>
    <mergeCell ref="A23:A29"/>
    <mergeCell ref="A31:A37"/>
    <mergeCell ref="A1:C1"/>
    <mergeCell ref="A7:C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Manual</vt:lpstr>
      <vt:lpstr>IncidenceComplications</vt:lpstr>
      <vt:lpstr>TotalCosts</vt:lpstr>
      <vt:lpstr>Inpatient</vt:lpstr>
      <vt:lpstr>Outpatient</vt:lpstr>
      <vt:lpstr>Pharmaceutical</vt:lpstr>
      <vt:lpstr>Sick_Leave</vt:lpstr>
      <vt:lpstr>External_Sources</vt:lpstr>
    </vt:vector>
  </TitlesOfParts>
  <Company>Uni Bielefeld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Scholz</dc:creator>
  <cp:lastModifiedBy>Scholz Stefan</cp:lastModifiedBy>
  <dcterms:created xsi:type="dcterms:W3CDTF">2018-01-25T13:23:38Z</dcterms:created>
  <dcterms:modified xsi:type="dcterms:W3CDTF">2018-05-29T12:20:47Z</dcterms:modified>
</cp:coreProperties>
</file>