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6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petelee/Documents/醫院 20151206/RTKR stem/投稿/投稿/6_BMC muscul/3rd revision/"/>
    </mc:Choice>
  </mc:AlternateContent>
  <bookViews>
    <workbookView xWindow="0" yWindow="460" windowWidth="28800" windowHeight="17540" tabRatio="872"/>
  </bookViews>
  <sheets>
    <sheet name="raw data" sheetId="14" r:id="rId1"/>
  </sheets>
  <definedNames>
    <definedName name="_xlnm._FilterDatabase" localSheetId="0" hidden="1">'raw data'!$B$1:$B$69</definedName>
  </definedNames>
  <calcPr calcId="15000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X70" i="14" l="1"/>
  <c r="X71" i="14"/>
  <c r="V70" i="14"/>
  <c r="V71" i="14"/>
  <c r="X50" i="14"/>
  <c r="X51" i="14"/>
  <c r="V50" i="14"/>
  <c r="V51" i="14"/>
  <c r="J50" i="14"/>
  <c r="J51" i="14"/>
  <c r="J70" i="14"/>
  <c r="J71" i="14"/>
  <c r="H70" i="14"/>
  <c r="H71" i="14"/>
  <c r="H50" i="14"/>
  <c r="H51" i="14"/>
  <c r="AA70" i="14"/>
  <c r="AA71" i="14"/>
  <c r="AA50" i="14"/>
  <c r="AA51" i="14"/>
  <c r="M70" i="14"/>
  <c r="M71" i="14"/>
  <c r="M50" i="14"/>
  <c r="M51" i="14"/>
  <c r="G72" i="14"/>
  <c r="G70" i="14"/>
  <c r="G71" i="14"/>
  <c r="U50" i="14"/>
  <c r="U51" i="14"/>
  <c r="G50" i="14"/>
  <c r="G51" i="14"/>
  <c r="AE50" i="14"/>
  <c r="AE51" i="14"/>
  <c r="AI70" i="14"/>
  <c r="AI71" i="14"/>
  <c r="AI50" i="14"/>
  <c r="AI51" i="14"/>
  <c r="AK53" i="14"/>
  <c r="AK54" i="14"/>
  <c r="AK55" i="14"/>
  <c r="AK56" i="14"/>
  <c r="AK57" i="14"/>
  <c r="AK58" i="14"/>
  <c r="AK59" i="14"/>
  <c r="AK60" i="14"/>
  <c r="AK61" i="14"/>
  <c r="AK62" i="14"/>
  <c r="AK63" i="14"/>
  <c r="AK64" i="14"/>
  <c r="AK65" i="14"/>
  <c r="AK66" i="14"/>
  <c r="AK67" i="14"/>
  <c r="AK71" i="14"/>
  <c r="AK70" i="14"/>
  <c r="AK2" i="14"/>
  <c r="AK3" i="14"/>
  <c r="AK4" i="14"/>
  <c r="AK5" i="14"/>
  <c r="AK6" i="14"/>
  <c r="AK7" i="14"/>
  <c r="AK8" i="14"/>
  <c r="AK9" i="14"/>
  <c r="AK10" i="14"/>
  <c r="AK11" i="14"/>
  <c r="AK12" i="14"/>
  <c r="AK13" i="14"/>
  <c r="AK14" i="14"/>
  <c r="AK15" i="14"/>
  <c r="AK16" i="14"/>
  <c r="AK17" i="14"/>
  <c r="AK18" i="14"/>
  <c r="AK19" i="14"/>
  <c r="AK20" i="14"/>
  <c r="AK21" i="14"/>
  <c r="AK22" i="14"/>
  <c r="AK23" i="14"/>
  <c r="AK24" i="14"/>
  <c r="AK25" i="14"/>
  <c r="AK26" i="14"/>
  <c r="AK27" i="14"/>
  <c r="AK28" i="14"/>
  <c r="AK29" i="14"/>
  <c r="AK30" i="14"/>
  <c r="AK31" i="14"/>
  <c r="AK32" i="14"/>
  <c r="AK33" i="14"/>
  <c r="AK34" i="14"/>
  <c r="AK35" i="14"/>
  <c r="AK37" i="14"/>
  <c r="AK38" i="14"/>
  <c r="AK39" i="14"/>
  <c r="AK40" i="14"/>
  <c r="AK41" i="14"/>
  <c r="AK42" i="14"/>
  <c r="AK43" i="14"/>
  <c r="AK44" i="14"/>
  <c r="AK45" i="14"/>
  <c r="AK46" i="14"/>
  <c r="AK47" i="14"/>
  <c r="AK51" i="14"/>
  <c r="AK50" i="14"/>
  <c r="AG51" i="14"/>
  <c r="AG50" i="14"/>
  <c r="AG71" i="14"/>
  <c r="AG70" i="14"/>
</calcChain>
</file>

<file path=xl/sharedStrings.xml><?xml version="1.0" encoding="utf-8"?>
<sst xmlns="http://schemas.openxmlformats.org/spreadsheetml/2006/main" count="203" uniqueCount="100">
  <si>
    <t>end point</t>
    <phoneticPr fontId="3" type="noConversion"/>
  </si>
  <si>
    <t>gender</t>
    <phoneticPr fontId="3" type="noConversion"/>
  </si>
  <si>
    <t>failure</t>
    <phoneticPr fontId="3" type="noConversion"/>
  </si>
  <si>
    <t>fu_month</t>
    <phoneticPr fontId="3" type="noConversion"/>
  </si>
  <si>
    <r>
      <rPr>
        <sz val="12"/>
        <color rgb="FF00B050"/>
        <rFont val="新細明體"/>
        <family val="1"/>
        <charset val="136"/>
      </rPr>
      <t>翻修當次</t>
    </r>
    <r>
      <rPr>
        <sz val="12"/>
        <color rgb="FF00B050"/>
        <rFont val="Times New Roman"/>
        <family val="1"/>
      </rPr>
      <t>cormobidity</t>
    </r>
    <phoneticPr fontId="3" type="noConversion"/>
  </si>
  <si>
    <r>
      <rPr>
        <sz val="12"/>
        <color rgb="FF00B050"/>
        <rFont val="新細明體"/>
        <family val="1"/>
        <charset val="136"/>
      </rPr>
      <t>翻修當次</t>
    </r>
    <r>
      <rPr>
        <sz val="12"/>
        <color rgb="FF00B050"/>
        <rFont val="Times New Roman"/>
        <family val="1"/>
      </rPr>
      <t xml:space="preserve">ASA </t>
    </r>
    <phoneticPr fontId="3" type="noConversion"/>
  </si>
  <si>
    <t>HTN</t>
    <phoneticPr fontId="3" type="noConversion"/>
  </si>
  <si>
    <t>BMI</t>
    <phoneticPr fontId="3" type="noConversion"/>
  </si>
  <si>
    <t>HTN,DM</t>
    <phoneticPr fontId="3" type="noConversion"/>
  </si>
  <si>
    <t>nil</t>
    <phoneticPr fontId="3" type="noConversion"/>
  </si>
  <si>
    <t>HTN,CAD</t>
    <phoneticPr fontId="3" type="noConversion"/>
  </si>
  <si>
    <t>DM</t>
    <phoneticPr fontId="3" type="noConversion"/>
  </si>
  <si>
    <t>dm</t>
    <phoneticPr fontId="3" type="noConversion"/>
  </si>
  <si>
    <t>DM,HTN</t>
    <phoneticPr fontId="3" type="noConversion"/>
  </si>
  <si>
    <t>thalassemia</t>
    <phoneticPr fontId="3" type="noConversion"/>
  </si>
  <si>
    <t>no chronic disease</t>
    <phoneticPr fontId="3" type="noConversion"/>
  </si>
  <si>
    <t>HTN,asthma, breast ca</t>
    <phoneticPr fontId="3" type="noConversion"/>
  </si>
  <si>
    <t>colon ca, BPH, thyroglossal duct cyst</t>
    <phoneticPr fontId="3" type="noConversion"/>
  </si>
  <si>
    <t>HTN,degenerative lumbar disease</t>
    <phoneticPr fontId="3" type="noConversion"/>
  </si>
  <si>
    <t>HTN,DM,CAD</t>
    <phoneticPr fontId="3" type="noConversion"/>
  </si>
  <si>
    <t>htn</t>
    <phoneticPr fontId="3" type="noConversion"/>
  </si>
  <si>
    <t>stroke, hyperlipidemia</t>
    <phoneticPr fontId="3" type="noConversion"/>
  </si>
  <si>
    <t>dm,htn</t>
    <phoneticPr fontId="3" type="noConversion"/>
  </si>
  <si>
    <t>gout, stroke, HTN,CHF, anemia</t>
    <phoneticPr fontId="3" type="noConversion"/>
  </si>
  <si>
    <t>htn, asthma</t>
    <phoneticPr fontId="3" type="noConversion"/>
  </si>
  <si>
    <t>hepatomegaly</t>
    <phoneticPr fontId="3" type="noConversion"/>
  </si>
  <si>
    <t>htn,dm</t>
    <phoneticPr fontId="3" type="noConversion"/>
  </si>
  <si>
    <t>hypothyroidism, gastric ca</t>
    <phoneticPr fontId="3" type="noConversion"/>
  </si>
  <si>
    <t>htn,hcv</t>
    <phoneticPr fontId="3" type="noConversion"/>
  </si>
  <si>
    <t>htm,cad</t>
    <phoneticPr fontId="3" type="noConversion"/>
  </si>
  <si>
    <t>CAD,htn</t>
    <phoneticPr fontId="3" type="noConversion"/>
  </si>
  <si>
    <t>HBV, liver cirrhosis,</t>
    <phoneticPr fontId="3" type="noConversion"/>
  </si>
  <si>
    <t>htn,asthma,thyroid disorder</t>
    <phoneticPr fontId="3" type="noConversion"/>
  </si>
  <si>
    <t>htn,dm,stroke</t>
    <phoneticPr fontId="3" type="noConversion"/>
  </si>
  <si>
    <t>htn,fatty liver</t>
    <phoneticPr fontId="3" type="noConversion"/>
  </si>
  <si>
    <t>htn,asthma,heart disease</t>
    <phoneticPr fontId="3" type="noConversion"/>
  </si>
  <si>
    <t>htn,gastric ulcer, fibromyalgia</t>
    <phoneticPr fontId="3" type="noConversion"/>
  </si>
  <si>
    <t>備註</t>
  </si>
  <si>
    <t>migration</t>
    <phoneticPr fontId="3" type="noConversion"/>
  </si>
  <si>
    <t>2a</t>
    <phoneticPr fontId="3" type="noConversion"/>
  </si>
  <si>
    <t>with plate</t>
    <phoneticPr fontId="3" type="noConversion"/>
  </si>
  <si>
    <t>alignment</t>
    <phoneticPr fontId="3" type="noConversion"/>
  </si>
  <si>
    <t>t</t>
    <phoneticPr fontId="3" type="noConversion"/>
  </si>
  <si>
    <t>2a</t>
    <phoneticPr fontId="3" type="noConversion"/>
  </si>
  <si>
    <t>yes</t>
    <phoneticPr fontId="3" type="noConversion"/>
  </si>
  <si>
    <t>re-revision 201106</t>
    <phoneticPr fontId="3" type="noConversion"/>
  </si>
  <si>
    <t>re-revision, 201304</t>
    <phoneticPr fontId="3" type="noConversion"/>
  </si>
  <si>
    <t>tibia</t>
    <phoneticPr fontId="3" type="noConversion"/>
  </si>
  <si>
    <t>femur, tibia</t>
    <phoneticPr fontId="3" type="noConversion"/>
  </si>
  <si>
    <t>post-traumatic</t>
    <phoneticPr fontId="3" type="noConversion"/>
  </si>
  <si>
    <t>severe femur bowing</t>
    <phoneticPr fontId="3" type="noConversion"/>
  </si>
  <si>
    <t>y</t>
    <phoneticPr fontId="3" type="noConversion"/>
  </si>
  <si>
    <t>之後femur發生fx</t>
    <phoneticPr fontId="3" type="noConversion"/>
  </si>
  <si>
    <t>術中tibia fx</t>
    <phoneticPr fontId="3" type="noConversion"/>
  </si>
  <si>
    <t>之前femur plate</t>
    <phoneticPr fontId="3" type="noConversion"/>
  </si>
  <si>
    <t>LCL loose</t>
    <phoneticPr fontId="3" type="noConversion"/>
  </si>
  <si>
    <t>patella fx</t>
    <phoneticPr fontId="3" type="noConversion"/>
  </si>
  <si>
    <t>F bone defect</t>
    <phoneticPr fontId="3" type="noConversion"/>
  </si>
  <si>
    <r>
      <t>F bone defect</t>
    </r>
    <r>
      <rPr>
        <sz val="12"/>
        <rFont val="細明體"/>
        <family val="3"/>
        <charset val="136"/>
      </rPr>
      <t>重建好不好</t>
    </r>
    <r>
      <rPr>
        <sz val="12"/>
        <rFont val="Times New Roman"/>
        <family val="1"/>
      </rPr>
      <t>1=</t>
    </r>
    <r>
      <rPr>
        <sz val="12"/>
        <rFont val="細明體"/>
        <family val="3"/>
        <charset val="136"/>
      </rPr>
      <t>好</t>
    </r>
    <r>
      <rPr>
        <sz val="12"/>
        <rFont val="Times New Roman"/>
        <family val="1"/>
      </rPr>
      <t>,0=</t>
    </r>
    <r>
      <rPr>
        <sz val="12"/>
        <rFont val="細明體"/>
        <family val="3"/>
        <charset val="136"/>
      </rPr>
      <t>不好</t>
    </r>
    <phoneticPr fontId="3" type="noConversion"/>
  </si>
  <si>
    <t>F bone quality</t>
    <phoneticPr fontId="3" type="noConversion"/>
  </si>
  <si>
    <t>F CFR Max</t>
    <phoneticPr fontId="3" type="noConversion"/>
  </si>
  <si>
    <t>F CFR &gt;85 ?cm</t>
    <phoneticPr fontId="3" type="noConversion"/>
  </si>
  <si>
    <r>
      <t>F CFR &gt;85</t>
    </r>
    <r>
      <rPr>
        <sz val="12"/>
        <rFont val="細明體"/>
        <family val="3"/>
        <charset val="136"/>
      </rPr>
      <t>有或無</t>
    </r>
    <phoneticPr fontId="3" type="noConversion"/>
  </si>
  <si>
    <t>F stem fixation, 0=h,1=f</t>
    <phoneticPr fontId="3" type="noConversion"/>
  </si>
  <si>
    <t>F CFR&gt;70 ?cm</t>
    <phoneticPr fontId="3" type="noConversion"/>
  </si>
  <si>
    <r>
      <t xml:space="preserve">F CFR&gt;70 </t>
    </r>
    <r>
      <rPr>
        <sz val="12"/>
        <rFont val="細明體"/>
        <family val="3"/>
        <charset val="136"/>
      </rPr>
      <t>有大於</t>
    </r>
    <r>
      <rPr>
        <sz val="12"/>
        <rFont val="Times New Roman"/>
        <family val="1"/>
      </rPr>
      <t>2cm</t>
    </r>
    <phoneticPr fontId="3" type="noConversion"/>
  </si>
  <si>
    <r>
      <t>F CFR&gt;70</t>
    </r>
    <r>
      <rPr>
        <sz val="12"/>
        <rFont val="細明體"/>
        <family val="3"/>
        <charset val="136"/>
      </rPr>
      <t>有大於</t>
    </r>
    <r>
      <rPr>
        <sz val="12"/>
        <rFont val="Times New Roman"/>
        <family val="1"/>
      </rPr>
      <t>4cm</t>
    </r>
    <phoneticPr fontId="3" type="noConversion"/>
  </si>
  <si>
    <t>F stem length</t>
    <phoneticPr fontId="3" type="noConversion"/>
  </si>
  <si>
    <t>F radiolucent zone</t>
    <phoneticPr fontId="3" type="noConversion"/>
  </si>
  <si>
    <t>F closely OBS (&gt;9)</t>
    <phoneticPr fontId="3" type="noConversion"/>
  </si>
  <si>
    <t>F loose (&gt;20)</t>
    <phoneticPr fontId="3" type="noConversion"/>
  </si>
  <si>
    <t>T bone defect</t>
    <phoneticPr fontId="3" type="noConversion"/>
  </si>
  <si>
    <r>
      <t xml:space="preserve">T bone defect </t>
    </r>
    <r>
      <rPr>
        <sz val="12"/>
        <rFont val="細明體"/>
        <family val="3"/>
        <charset val="136"/>
      </rPr>
      <t>重建的好不好</t>
    </r>
    <r>
      <rPr>
        <sz val="12"/>
        <rFont val="Times New Roman"/>
        <family val="1"/>
      </rPr>
      <t>1=</t>
    </r>
    <r>
      <rPr>
        <sz val="12"/>
        <rFont val="細明體"/>
        <family val="3"/>
        <charset val="136"/>
      </rPr>
      <t>好</t>
    </r>
    <r>
      <rPr>
        <sz val="12"/>
        <rFont val="Times New Roman"/>
        <family val="1"/>
      </rPr>
      <t>,0=</t>
    </r>
    <r>
      <rPr>
        <sz val="12"/>
        <rFont val="細明體"/>
        <family val="3"/>
        <charset val="136"/>
      </rPr>
      <t>不好</t>
    </r>
    <phoneticPr fontId="3" type="noConversion"/>
  </si>
  <si>
    <t>T bone quality</t>
    <phoneticPr fontId="3" type="noConversion"/>
  </si>
  <si>
    <t>T stem fixation,0=h,1=f</t>
    <phoneticPr fontId="3" type="noConversion"/>
  </si>
  <si>
    <t>T CFR Max</t>
    <phoneticPr fontId="3" type="noConversion"/>
  </si>
  <si>
    <t>T CFR &gt;85 ?cm</t>
    <phoneticPr fontId="3" type="noConversion"/>
  </si>
  <si>
    <r>
      <t>T CFR&gt;85</t>
    </r>
    <r>
      <rPr>
        <sz val="12"/>
        <rFont val="細明體"/>
        <family val="3"/>
        <charset val="136"/>
      </rPr>
      <t>有或無</t>
    </r>
    <phoneticPr fontId="3" type="noConversion"/>
  </si>
  <si>
    <t>T CFR &gt;70 ?cm</t>
    <phoneticPr fontId="3" type="noConversion"/>
  </si>
  <si>
    <r>
      <t>T CFR&gt;70</t>
    </r>
    <r>
      <rPr>
        <sz val="12"/>
        <rFont val="細明體"/>
        <family val="3"/>
        <charset val="136"/>
      </rPr>
      <t>有大於</t>
    </r>
    <r>
      <rPr>
        <sz val="12"/>
        <rFont val="Times New Roman"/>
        <family val="1"/>
      </rPr>
      <t>2cm</t>
    </r>
    <phoneticPr fontId="3" type="noConversion"/>
  </si>
  <si>
    <r>
      <t>T CFR&gt;70</t>
    </r>
    <r>
      <rPr>
        <sz val="12"/>
        <rFont val="細明體"/>
        <family val="3"/>
        <charset val="136"/>
      </rPr>
      <t>有大於</t>
    </r>
    <r>
      <rPr>
        <sz val="12"/>
        <rFont val="Times New Roman"/>
        <family val="1"/>
      </rPr>
      <t>4cm</t>
    </r>
    <phoneticPr fontId="3" type="noConversion"/>
  </si>
  <si>
    <t>T stem length</t>
    <phoneticPr fontId="3" type="noConversion"/>
  </si>
  <si>
    <t>T radiolucent zone</t>
    <phoneticPr fontId="3" type="noConversion"/>
  </si>
  <si>
    <t>T closely OBS (&gt;10)</t>
    <phoneticPr fontId="3" type="noConversion"/>
  </si>
  <si>
    <t>T loose (&gt;23)</t>
    <phoneticPr fontId="3" type="noConversion"/>
  </si>
  <si>
    <t>revision age</t>
    <phoneticPr fontId="3" type="noConversion"/>
  </si>
  <si>
    <t>htn, cervical ca, parkinsonism</t>
    <phoneticPr fontId="3" type="noConversion"/>
  </si>
  <si>
    <t>htn,dm</t>
    <phoneticPr fontId="3" type="noConversion"/>
  </si>
  <si>
    <t>htn,dm</t>
    <phoneticPr fontId="3" type="noConversion"/>
  </si>
  <si>
    <t>htn,depression</t>
    <phoneticPr fontId="3" type="noConversion"/>
  </si>
  <si>
    <r>
      <t>failure</t>
    </r>
    <r>
      <rPr>
        <sz val="12"/>
        <rFont val="細明體"/>
        <family val="3"/>
        <charset val="136"/>
      </rPr>
      <t>時</t>
    </r>
    <r>
      <rPr>
        <sz val="12"/>
        <rFont val="Times New Roman"/>
        <family val="1"/>
      </rPr>
      <t>,0=nil,1=pri,2=UKA,3=CCK</t>
    </r>
    <phoneticPr fontId="3" type="noConversion"/>
  </si>
  <si>
    <t>Charlson index</t>
    <phoneticPr fontId="3" type="noConversion"/>
  </si>
  <si>
    <t>no</t>
    <phoneticPr fontId="3" type="noConversion"/>
  </si>
  <si>
    <t>2a</t>
    <phoneticPr fontId="3" type="noConversion"/>
  </si>
  <si>
    <t>2a</t>
    <phoneticPr fontId="3" type="noConversion"/>
  </si>
  <si>
    <t>time to re-revision</t>
    <phoneticPr fontId="3" type="noConversion"/>
  </si>
  <si>
    <t>137.53</t>
    <phoneticPr fontId="3" type="noConversion"/>
  </si>
  <si>
    <t>35.84</t>
    <phoneticPr fontId="3" type="noConversion"/>
  </si>
  <si>
    <t>115.55</t>
    <phoneticPr fontId="3" type="noConversion"/>
  </si>
  <si>
    <t>123.70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</si>
</sst>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0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2"/>
      <name val="細明體"/>
      <family val="3"/>
      <charset val="136"/>
    </font>
    <font>
      <sz val="12"/>
      <color rgb="FFFF0000"/>
      <name val="Times New Roman"/>
      <family val="1"/>
    </font>
    <font>
      <sz val="12"/>
      <color rgb="FF00B050"/>
      <name val="Times New Roman"/>
      <family val="1"/>
    </font>
    <font>
      <sz val="12"/>
      <color rgb="FF00B050"/>
      <name val="新細明體"/>
      <family val="1"/>
      <charset val="136"/>
    </font>
    <font>
      <u/>
      <sz val="12"/>
      <color theme="10"/>
      <name val="新細明體"/>
      <family val="2"/>
      <scheme val="minor"/>
    </font>
    <font>
      <u/>
      <sz val="12"/>
      <color theme="11"/>
      <name val="新細明體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54">
    <xf numFmtId="0" fontId="0" fillId="0" borderId="0">
      <alignment vertical="center"/>
    </xf>
    <xf numFmtId="0" fontId="1" fillId="0" borderId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 wrapText="1"/>
    </xf>
    <xf numFmtId="0" fontId="0" fillId="0" borderId="0" xfId="0" applyFill="1">
      <alignment vertical="center"/>
    </xf>
    <xf numFmtId="14" fontId="2" fillId="0" borderId="0" xfId="1" applyNumberFormat="1" applyFont="1" applyFill="1" applyBorder="1" applyAlignment="1">
      <alignment vertical="center" wrapText="1"/>
    </xf>
    <xf numFmtId="14" fontId="5" fillId="2" borderId="0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76" fontId="5" fillId="0" borderId="0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right" vertical="center" wrapText="1"/>
    </xf>
    <xf numFmtId="2" fontId="0" fillId="0" borderId="0" xfId="0" applyNumberFormat="1">
      <alignment vertical="center"/>
    </xf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176" fontId="5" fillId="2" borderId="0" xfId="1" applyNumberFormat="1" applyFont="1" applyFill="1" applyBorder="1" applyAlignment="1">
      <alignment horizontal="center" vertical="center" wrapText="1"/>
    </xf>
    <xf numFmtId="2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2" fillId="4" borderId="0" xfId="1" applyFont="1" applyFill="1" applyBorder="1" applyAlignment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176" fontId="5" fillId="0" borderId="0" xfId="1" applyNumberFormat="1" applyFont="1" applyFill="1" applyBorder="1" applyAlignment="1">
      <alignment horizontal="center" vertical="center" wrapText="1"/>
    </xf>
    <xf numFmtId="2" fontId="0" fillId="0" borderId="0" xfId="0" applyNumberFormat="1" applyFill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4" fontId="2" fillId="3" borderId="0" xfId="0" applyNumberFormat="1" applyFont="1" applyFill="1" applyBorder="1" applyAlignment="1">
      <alignment vertical="center" wrapText="1"/>
    </xf>
    <xf numFmtId="14" fontId="2" fillId="2" borderId="0" xfId="0" applyNumberFormat="1" applyFont="1" applyFill="1" applyBorder="1" applyAlignment="1">
      <alignment vertical="center" wrapText="1"/>
    </xf>
    <xf numFmtId="14" fontId="0" fillId="0" borderId="0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vertical="center" wrapText="1"/>
    </xf>
    <xf numFmtId="0" fontId="0" fillId="0" borderId="0" xfId="0" applyNumberFormat="1">
      <alignment vertical="center"/>
    </xf>
    <xf numFmtId="0" fontId="2" fillId="2" borderId="0" xfId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2" fillId="0" borderId="0" xfId="1" applyFont="1" applyFill="1" applyBorder="1" applyAlignment="1">
      <alignment horizontal="righ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1" applyFont="1" applyFill="1" applyBorder="1" applyAlignment="1">
      <alignment horizontal="right" vertical="center" wrapText="1"/>
    </xf>
    <xf numFmtId="2" fontId="0" fillId="0" borderId="0" xfId="0" applyNumberFormat="1" applyAlignment="1">
      <alignment horizontal="right" vertical="center"/>
    </xf>
    <xf numFmtId="2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0" fillId="0" borderId="0" xfId="0" applyFill="1" applyAlignment="1">
      <alignment horizontal="right" vertical="center"/>
    </xf>
    <xf numFmtId="14" fontId="2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right" vertical="center"/>
    </xf>
    <xf numFmtId="49" fontId="5" fillId="2" borderId="0" xfId="1" applyNumberFormat="1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right" vertical="center" wrapText="1"/>
    </xf>
    <xf numFmtId="49" fontId="2" fillId="2" borderId="0" xfId="0" applyNumberFormat="1" applyFont="1" applyFill="1" applyBorder="1" applyAlignment="1">
      <alignment horizontal="right" vertical="center" wrapText="1"/>
    </xf>
    <xf numFmtId="14" fontId="0" fillId="0" borderId="0" xfId="0" applyNumberFormat="1" applyFill="1" applyAlignment="1">
      <alignment horizontal="right" vertical="center"/>
    </xf>
    <xf numFmtId="176" fontId="0" fillId="0" borderId="0" xfId="0" applyNumberFormat="1">
      <alignment vertical="center"/>
    </xf>
    <xf numFmtId="14" fontId="2" fillId="2" borderId="0" xfId="0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horizontal="left" vertical="center"/>
    </xf>
    <xf numFmtId="2" fontId="0" fillId="0" borderId="0" xfId="0" applyNumberFormat="1" applyFill="1" applyAlignment="1">
      <alignment horizontal="right" vertical="center"/>
    </xf>
    <xf numFmtId="49" fontId="2" fillId="0" borderId="0" xfId="1" applyNumberFormat="1" applyFont="1" applyFill="1" applyBorder="1" applyAlignment="1">
      <alignment horizontal="right" vertical="center" wrapText="1"/>
    </xf>
  </cellXfs>
  <cellStyles count="54">
    <cellStyle name="一般" xfId="0" builtinId="0"/>
    <cellStyle name="一般 2" xfId="1"/>
    <cellStyle name="已瀏覽過的超連結" xfId="3" builtinId="9" hidden="1"/>
    <cellStyle name="已瀏覽過的超連結" xfId="5" builtinId="9" hidden="1"/>
    <cellStyle name="已瀏覽過的超連結" xfId="7" builtinId="9" hidden="1"/>
    <cellStyle name="已瀏覽過的超連結" xfId="9" builtinId="9" hidden="1"/>
    <cellStyle name="已瀏覽過的超連結" xfId="11" builtinId="9" hidden="1"/>
    <cellStyle name="已瀏覽過的超連結" xfId="13" builtinId="9" hidden="1"/>
    <cellStyle name="已瀏覽過的超連結" xfId="15" builtinId="9" hidden="1"/>
    <cellStyle name="已瀏覽過的超連結" xfId="17" builtinId="9" hidden="1"/>
    <cellStyle name="已瀏覽過的超連結" xfId="19" builtinId="9" hidden="1"/>
    <cellStyle name="已瀏覽過的超連結" xfId="21" builtinId="9" hidden="1"/>
    <cellStyle name="已瀏覽過的超連結" xfId="23" builtinId="9" hidden="1"/>
    <cellStyle name="已瀏覽過的超連結" xfId="25" builtinId="9" hidden="1"/>
    <cellStyle name="已瀏覽過的超連結" xfId="27" builtinId="9" hidden="1"/>
    <cellStyle name="已瀏覽過的超連結" xfId="29" builtinId="9" hidden="1"/>
    <cellStyle name="已瀏覽過的超連結" xfId="31" builtinId="9" hidden="1"/>
    <cellStyle name="已瀏覽過的超連結" xfId="33" builtinId="9" hidden="1"/>
    <cellStyle name="已瀏覽過的超連結" xfId="35" builtinId="9" hidden="1"/>
    <cellStyle name="已瀏覽過的超連結" xfId="37" builtinId="9" hidden="1"/>
    <cellStyle name="已瀏覽過的超連結" xfId="39" builtinId="9" hidden="1"/>
    <cellStyle name="已瀏覽過的超連結" xfId="41" builtinId="9" hidden="1"/>
    <cellStyle name="已瀏覽過的超連結" xfId="43" builtinId="9" hidden="1"/>
    <cellStyle name="已瀏覽過的超連結" xfId="45" builtinId="9" hidden="1"/>
    <cellStyle name="已瀏覽過的超連結" xfId="47" builtinId="9" hidden="1"/>
    <cellStyle name="已瀏覽過的超連結" xfId="49" builtinId="9" hidden="1"/>
    <cellStyle name="已瀏覽過的超連結" xfId="51" builtinId="9" hidden="1"/>
    <cellStyle name="已瀏覽過的超連結" xfId="53" builtinId="9" hidden="1"/>
    <cellStyle name="超連結" xfId="2" builtinId="8" hidden="1"/>
    <cellStyle name="超連結" xfId="4" builtinId="8" hidden="1"/>
    <cellStyle name="超連結" xfId="6" builtinId="8" hidden="1"/>
    <cellStyle name="超連結" xfId="8" builtinId="8" hidden="1"/>
    <cellStyle name="超連結" xfId="10" builtinId="8" hidden="1"/>
    <cellStyle name="超連結" xfId="12" builtinId="8" hidden="1"/>
    <cellStyle name="超連結" xfId="14" builtinId="8" hidden="1"/>
    <cellStyle name="超連結" xfId="16" builtinId="8" hidden="1"/>
    <cellStyle name="超連結" xfId="18" builtinId="8" hidden="1"/>
    <cellStyle name="超連結" xfId="20" builtinId="8" hidden="1"/>
    <cellStyle name="超連結" xfId="22" builtinId="8" hidden="1"/>
    <cellStyle name="超連結" xfId="24" builtinId="8" hidden="1"/>
    <cellStyle name="超連結" xfId="26" builtinId="8" hidden="1"/>
    <cellStyle name="超連結" xfId="28" builtinId="8" hidden="1"/>
    <cellStyle name="超連結" xfId="30" builtinId="8" hidden="1"/>
    <cellStyle name="超連結" xfId="32" builtinId="8" hidden="1"/>
    <cellStyle name="超連結" xfId="34" builtinId="8" hidden="1"/>
    <cellStyle name="超連結" xfId="36" builtinId="8" hidden="1"/>
    <cellStyle name="超連結" xfId="38" builtinId="8" hidden="1"/>
    <cellStyle name="超連結" xfId="40" builtinId="8" hidden="1"/>
    <cellStyle name="超連結" xfId="42" builtinId="8" hidden="1"/>
    <cellStyle name="超連結" xfId="44" builtinId="8" hidden="1"/>
    <cellStyle name="超連結" xfId="46" builtinId="8" hidden="1"/>
    <cellStyle name="超連結" xfId="48" builtinId="8" hidden="1"/>
    <cellStyle name="超連結" xfId="50" builtinId="8" hidden="1"/>
    <cellStyle name="超連結" xfId="52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2"/>
  <sheetViews>
    <sheetView tabSelected="1" zoomScale="90" zoomScaleNormal="90" zoomScalePageLayoutView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V7" sqref="AV7"/>
    </sheetView>
  </sheetViews>
  <sheetFormatPr baseColWidth="10" defaultColWidth="8.83203125" defaultRowHeight="15" x14ac:dyDescent="0.15"/>
  <cols>
    <col min="19" max="19" width="9" customWidth="1"/>
    <col min="21" max="26" width="8.1640625" customWidth="1"/>
    <col min="32" max="32" width="8.83203125" style="29"/>
    <col min="34" max="34" width="8.83203125" style="29"/>
    <col min="35" max="35" width="12" customWidth="1"/>
    <col min="36" max="36" width="8.83203125" style="33"/>
    <col min="37" max="38" width="8.83203125" style="29"/>
    <col min="39" max="39" width="13.1640625" style="21" customWidth="1"/>
    <col min="40" max="40" width="13.1640625" style="47" customWidth="1"/>
    <col min="41" max="41" width="8.83203125" style="33"/>
  </cols>
  <sheetData>
    <row r="1" spans="1:43" ht="55.25" customHeight="1" x14ac:dyDescent="0.15">
      <c r="A1" s="1" t="s">
        <v>92</v>
      </c>
      <c r="B1" s="1" t="s">
        <v>90</v>
      </c>
      <c r="C1" s="18" t="s">
        <v>57</v>
      </c>
      <c r="D1" s="18" t="s">
        <v>58</v>
      </c>
      <c r="E1" s="18" t="s">
        <v>59</v>
      </c>
      <c r="F1" s="18" t="s">
        <v>63</v>
      </c>
      <c r="G1" s="18" t="s">
        <v>60</v>
      </c>
      <c r="H1" s="12" t="s">
        <v>61</v>
      </c>
      <c r="I1" s="12" t="s">
        <v>62</v>
      </c>
      <c r="J1" s="12" t="s">
        <v>64</v>
      </c>
      <c r="K1" s="12" t="s">
        <v>65</v>
      </c>
      <c r="L1" s="12" t="s">
        <v>66</v>
      </c>
      <c r="M1" s="18" t="s">
        <v>67</v>
      </c>
      <c r="N1" s="18" t="s">
        <v>68</v>
      </c>
      <c r="O1" s="18" t="s">
        <v>69</v>
      </c>
      <c r="P1" s="18" t="s">
        <v>70</v>
      </c>
      <c r="Q1" s="17" t="s">
        <v>71</v>
      </c>
      <c r="R1" s="17" t="s">
        <v>72</v>
      </c>
      <c r="S1" s="17" t="s">
        <v>73</v>
      </c>
      <c r="T1" s="17" t="s">
        <v>74</v>
      </c>
      <c r="U1" s="17" t="s">
        <v>75</v>
      </c>
      <c r="V1" s="12" t="s">
        <v>76</v>
      </c>
      <c r="W1" s="12" t="s">
        <v>77</v>
      </c>
      <c r="X1" s="12" t="s">
        <v>78</v>
      </c>
      <c r="Y1" s="12" t="s">
        <v>79</v>
      </c>
      <c r="Z1" s="12" t="s">
        <v>80</v>
      </c>
      <c r="AA1" s="17" t="s">
        <v>81</v>
      </c>
      <c r="AB1" s="17" t="s">
        <v>82</v>
      </c>
      <c r="AC1" s="17" t="s">
        <v>83</v>
      </c>
      <c r="AD1" s="17" t="s">
        <v>84</v>
      </c>
      <c r="AE1" s="1" t="s">
        <v>41</v>
      </c>
      <c r="AF1" s="10" t="s">
        <v>1</v>
      </c>
      <c r="AG1" s="4" t="s">
        <v>85</v>
      </c>
      <c r="AH1" s="10" t="s">
        <v>2</v>
      </c>
      <c r="AI1" s="4" t="s">
        <v>3</v>
      </c>
      <c r="AJ1" s="32" t="s">
        <v>91</v>
      </c>
      <c r="AK1" s="35" t="s">
        <v>7</v>
      </c>
      <c r="AL1" s="35" t="s">
        <v>5</v>
      </c>
      <c r="AM1" s="26" t="s">
        <v>0</v>
      </c>
      <c r="AN1" s="42" t="s">
        <v>95</v>
      </c>
      <c r="AO1" s="32" t="s">
        <v>4</v>
      </c>
      <c r="AP1" s="1" t="s">
        <v>38</v>
      </c>
      <c r="AQ1" s="2" t="s">
        <v>37</v>
      </c>
    </row>
    <row r="2" spans="1:43" ht="16" x14ac:dyDescent="0.15">
      <c r="A2" s="1">
        <v>3</v>
      </c>
      <c r="B2" s="1">
        <v>1</v>
      </c>
      <c r="C2" s="1">
        <v>1</v>
      </c>
      <c r="D2" s="1">
        <v>1</v>
      </c>
      <c r="E2" s="1">
        <v>2</v>
      </c>
      <c r="F2" s="1">
        <v>0</v>
      </c>
      <c r="G2" s="1">
        <v>75</v>
      </c>
      <c r="H2" s="1">
        <v>0</v>
      </c>
      <c r="I2" s="1">
        <v>0</v>
      </c>
      <c r="J2" s="1">
        <v>5</v>
      </c>
      <c r="K2" s="1">
        <v>1</v>
      </c>
      <c r="L2" s="1">
        <v>1</v>
      </c>
      <c r="M2" s="1">
        <v>75</v>
      </c>
      <c r="N2" s="1">
        <v>0</v>
      </c>
      <c r="O2" s="1">
        <v>0</v>
      </c>
      <c r="P2" s="1">
        <v>0</v>
      </c>
      <c r="Q2" s="1" t="s">
        <v>39</v>
      </c>
      <c r="R2" s="1">
        <v>1</v>
      </c>
      <c r="S2" s="1">
        <v>2</v>
      </c>
      <c r="T2" s="1">
        <v>0</v>
      </c>
      <c r="U2" s="1">
        <v>75</v>
      </c>
      <c r="V2" s="1">
        <v>0</v>
      </c>
      <c r="W2" s="1">
        <v>0</v>
      </c>
      <c r="X2" s="1">
        <v>5</v>
      </c>
      <c r="Y2" s="1">
        <v>1</v>
      </c>
      <c r="Z2" s="1">
        <v>1</v>
      </c>
      <c r="AA2" s="1">
        <v>75</v>
      </c>
      <c r="AB2" s="1">
        <v>0</v>
      </c>
      <c r="AC2" s="1">
        <v>0</v>
      </c>
      <c r="AD2" s="3">
        <v>0</v>
      </c>
      <c r="AE2" s="1">
        <v>5</v>
      </c>
      <c r="AF2" s="10">
        <v>0</v>
      </c>
      <c r="AG2" s="9">
        <v>78.275154004106781</v>
      </c>
      <c r="AH2" s="10">
        <v>0</v>
      </c>
      <c r="AI2" s="11">
        <v>95.77002053388091</v>
      </c>
      <c r="AJ2" s="33">
        <v>3</v>
      </c>
      <c r="AK2" s="36">
        <f>60/1.46^2</f>
        <v>28.147870144492405</v>
      </c>
      <c r="AL2" s="29">
        <v>2</v>
      </c>
      <c r="AM2" s="23">
        <v>42369</v>
      </c>
      <c r="AN2" s="42"/>
      <c r="AO2" s="33" t="s">
        <v>6</v>
      </c>
      <c r="AP2" s="1"/>
      <c r="AQ2" s="1"/>
    </row>
    <row r="3" spans="1:43" ht="16" x14ac:dyDescent="0.15">
      <c r="A3" s="1">
        <v>6</v>
      </c>
      <c r="B3" s="1">
        <v>1</v>
      </c>
      <c r="C3" s="1">
        <v>1</v>
      </c>
      <c r="D3" s="1">
        <v>1</v>
      </c>
      <c r="E3" s="1">
        <v>2</v>
      </c>
      <c r="F3" s="1">
        <v>0</v>
      </c>
      <c r="G3" s="1">
        <v>55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75</v>
      </c>
      <c r="N3" s="1">
        <v>7</v>
      </c>
      <c r="O3" s="1">
        <v>0</v>
      </c>
      <c r="P3" s="1">
        <v>0</v>
      </c>
      <c r="Q3" s="1">
        <v>1</v>
      </c>
      <c r="R3" s="1">
        <v>1</v>
      </c>
      <c r="S3" s="1">
        <v>2</v>
      </c>
      <c r="T3" s="1">
        <v>0</v>
      </c>
      <c r="U3" s="1">
        <v>65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100</v>
      </c>
      <c r="AB3" s="1">
        <v>2</v>
      </c>
      <c r="AC3" s="1">
        <v>0</v>
      </c>
      <c r="AD3" s="3">
        <v>0</v>
      </c>
      <c r="AE3" s="1">
        <v>5</v>
      </c>
      <c r="AF3" s="10">
        <v>0</v>
      </c>
      <c r="AG3" s="9">
        <v>78.847364818617379</v>
      </c>
      <c r="AH3" s="10">
        <v>0</v>
      </c>
      <c r="AI3" s="11">
        <v>90.349075975359341</v>
      </c>
      <c r="AJ3" s="33">
        <v>3</v>
      </c>
      <c r="AK3" s="36">
        <f>68.6/1.5^2</f>
        <v>30.488888888888887</v>
      </c>
      <c r="AL3" s="29">
        <v>3</v>
      </c>
      <c r="AM3" s="23">
        <v>42369</v>
      </c>
      <c r="AN3" s="42"/>
      <c r="AO3" s="33" t="s">
        <v>6</v>
      </c>
      <c r="AP3" s="1"/>
      <c r="AQ3" s="1"/>
    </row>
    <row r="4" spans="1:43" ht="16" x14ac:dyDescent="0.15">
      <c r="A4" s="1">
        <v>7</v>
      </c>
      <c r="B4" s="1">
        <v>1</v>
      </c>
      <c r="C4" s="1">
        <v>1</v>
      </c>
      <c r="D4" s="1">
        <v>1</v>
      </c>
      <c r="E4" s="1">
        <v>2</v>
      </c>
      <c r="F4" s="1">
        <v>0</v>
      </c>
      <c r="G4" s="1">
        <v>71</v>
      </c>
      <c r="H4" s="1">
        <v>0</v>
      </c>
      <c r="I4" s="1">
        <v>0</v>
      </c>
      <c r="J4" s="1">
        <v>1</v>
      </c>
      <c r="K4" s="1">
        <v>0</v>
      </c>
      <c r="L4" s="1">
        <v>0</v>
      </c>
      <c r="M4" s="1">
        <v>75</v>
      </c>
      <c r="N4" s="1">
        <v>0</v>
      </c>
      <c r="O4" s="1">
        <v>0</v>
      </c>
      <c r="P4" s="1">
        <v>0</v>
      </c>
      <c r="Q4" s="1">
        <v>1</v>
      </c>
      <c r="R4" s="1">
        <v>1</v>
      </c>
      <c r="S4" s="1">
        <v>2</v>
      </c>
      <c r="T4" s="1">
        <v>0</v>
      </c>
      <c r="U4" s="1">
        <v>75</v>
      </c>
      <c r="V4" s="1">
        <v>0</v>
      </c>
      <c r="W4" s="1">
        <v>0</v>
      </c>
      <c r="X4" s="1">
        <v>5</v>
      </c>
      <c r="Y4" s="1">
        <v>1</v>
      </c>
      <c r="Z4" s="1">
        <v>1</v>
      </c>
      <c r="AA4" s="1">
        <v>75</v>
      </c>
      <c r="AB4" s="1">
        <v>1</v>
      </c>
      <c r="AC4" s="1">
        <v>0</v>
      </c>
      <c r="AD4" s="3">
        <v>0</v>
      </c>
      <c r="AE4" s="1">
        <v>5</v>
      </c>
      <c r="AF4" s="10">
        <v>0</v>
      </c>
      <c r="AG4" s="9">
        <v>72.350444900752905</v>
      </c>
      <c r="AH4" s="10">
        <v>0</v>
      </c>
      <c r="AI4" s="11">
        <v>89.330595482546201</v>
      </c>
      <c r="AJ4" s="33">
        <v>3</v>
      </c>
      <c r="AK4" s="36">
        <f>65.5/1.46^2</f>
        <v>30.728091574404207</v>
      </c>
      <c r="AL4" s="29">
        <v>2</v>
      </c>
      <c r="AM4" s="23">
        <v>42369</v>
      </c>
      <c r="AN4" s="42"/>
      <c r="AO4" s="33" t="s">
        <v>6</v>
      </c>
      <c r="AP4" s="1"/>
      <c r="AQ4" s="1"/>
    </row>
    <row r="5" spans="1:43" ht="16" x14ac:dyDescent="0.15">
      <c r="A5" s="1">
        <v>10</v>
      </c>
      <c r="B5" s="1">
        <v>1</v>
      </c>
      <c r="C5" s="1">
        <v>1</v>
      </c>
      <c r="D5" s="1">
        <v>1</v>
      </c>
      <c r="E5" s="1">
        <v>2</v>
      </c>
      <c r="F5" s="1">
        <v>0</v>
      </c>
      <c r="G5" s="1">
        <v>87</v>
      </c>
      <c r="H5" s="1">
        <v>2</v>
      </c>
      <c r="I5" s="1">
        <v>1</v>
      </c>
      <c r="J5" s="1">
        <v>4</v>
      </c>
      <c r="K5" s="1">
        <v>1</v>
      </c>
      <c r="L5" s="1">
        <v>1</v>
      </c>
      <c r="M5" s="1">
        <v>75</v>
      </c>
      <c r="N5" s="1">
        <v>3</v>
      </c>
      <c r="O5" s="1">
        <v>0</v>
      </c>
      <c r="P5" s="1">
        <v>0</v>
      </c>
      <c r="Q5" s="1">
        <v>1</v>
      </c>
      <c r="R5" s="1">
        <v>1</v>
      </c>
      <c r="S5" s="1">
        <v>2</v>
      </c>
      <c r="T5" s="1">
        <v>0</v>
      </c>
      <c r="U5" s="1">
        <v>92</v>
      </c>
      <c r="V5" s="1">
        <v>3.5</v>
      </c>
      <c r="W5" s="1">
        <v>1</v>
      </c>
      <c r="X5" s="1">
        <v>6</v>
      </c>
      <c r="Y5" s="1">
        <v>1</v>
      </c>
      <c r="Z5" s="1">
        <v>1</v>
      </c>
      <c r="AA5" s="1">
        <v>75</v>
      </c>
      <c r="AB5" s="1">
        <v>2</v>
      </c>
      <c r="AC5" s="1">
        <v>0</v>
      </c>
      <c r="AD5" s="3">
        <v>0</v>
      </c>
      <c r="AE5" s="1">
        <v>5.5</v>
      </c>
      <c r="AF5" s="10">
        <v>0</v>
      </c>
      <c r="AG5" s="9">
        <v>68.851471594798085</v>
      </c>
      <c r="AH5" s="10">
        <v>0</v>
      </c>
      <c r="AI5" s="11">
        <v>89.560574948665291</v>
      </c>
      <c r="AJ5" s="33">
        <v>2</v>
      </c>
      <c r="AK5" s="36">
        <f>57.5/1.46^2</f>
        <v>26.975042221805221</v>
      </c>
      <c r="AL5" s="29">
        <v>3</v>
      </c>
      <c r="AM5" s="23">
        <v>42369</v>
      </c>
      <c r="AN5" s="42"/>
      <c r="AO5" s="33" t="s">
        <v>6</v>
      </c>
      <c r="AP5" s="1"/>
      <c r="AQ5" s="1"/>
    </row>
    <row r="6" spans="1:43" ht="16" x14ac:dyDescent="0.15">
      <c r="A6" s="1">
        <v>11</v>
      </c>
      <c r="B6" s="1">
        <v>1</v>
      </c>
      <c r="C6" s="1" t="s">
        <v>43</v>
      </c>
      <c r="D6" s="1">
        <v>1</v>
      </c>
      <c r="E6" s="1">
        <v>2</v>
      </c>
      <c r="F6" s="1">
        <v>0</v>
      </c>
      <c r="G6" s="1">
        <v>94</v>
      </c>
      <c r="H6" s="1">
        <v>3</v>
      </c>
      <c r="I6" s="1">
        <v>1</v>
      </c>
      <c r="J6" s="1">
        <v>4.2</v>
      </c>
      <c r="K6" s="1">
        <v>1</v>
      </c>
      <c r="L6" s="1">
        <v>1</v>
      </c>
      <c r="M6" s="1">
        <v>75</v>
      </c>
      <c r="N6" s="1">
        <v>3</v>
      </c>
      <c r="O6" s="1">
        <v>0</v>
      </c>
      <c r="P6" s="1">
        <v>0</v>
      </c>
      <c r="Q6" s="1">
        <v>1</v>
      </c>
      <c r="R6" s="1">
        <v>1</v>
      </c>
      <c r="S6" s="1">
        <v>2</v>
      </c>
      <c r="T6" s="1">
        <v>0</v>
      </c>
      <c r="U6" s="1">
        <v>88</v>
      </c>
      <c r="V6" s="1">
        <v>2.8</v>
      </c>
      <c r="W6" s="1">
        <v>1</v>
      </c>
      <c r="X6" s="1">
        <v>5</v>
      </c>
      <c r="Y6" s="1">
        <v>1</v>
      </c>
      <c r="Z6" s="1">
        <v>1</v>
      </c>
      <c r="AA6" s="1">
        <v>75</v>
      </c>
      <c r="AB6" s="1">
        <v>2</v>
      </c>
      <c r="AC6" s="1">
        <v>0</v>
      </c>
      <c r="AD6" s="3">
        <v>0</v>
      </c>
      <c r="AE6" s="1">
        <v>4.8</v>
      </c>
      <c r="AF6" s="10">
        <v>0</v>
      </c>
      <c r="AG6" s="9">
        <v>69.119780971937033</v>
      </c>
      <c r="AH6" s="10">
        <v>0</v>
      </c>
      <c r="AI6" s="11">
        <v>86.340862422997944</v>
      </c>
      <c r="AJ6" s="33">
        <v>2</v>
      </c>
      <c r="AK6" s="36">
        <f>57.5/1.46^2</f>
        <v>26.975042221805221</v>
      </c>
      <c r="AL6" s="29">
        <v>2</v>
      </c>
      <c r="AM6" s="23">
        <v>42369</v>
      </c>
      <c r="AN6" s="42"/>
      <c r="AO6" s="33" t="s">
        <v>6</v>
      </c>
      <c r="AP6" s="1"/>
      <c r="AQ6" s="1"/>
    </row>
    <row r="7" spans="1:43" ht="16" x14ac:dyDescent="0.15">
      <c r="A7" s="1">
        <v>14</v>
      </c>
      <c r="B7" s="1">
        <v>1</v>
      </c>
      <c r="C7" s="1">
        <v>1</v>
      </c>
      <c r="D7" s="1">
        <v>1</v>
      </c>
      <c r="E7" s="1">
        <v>2</v>
      </c>
      <c r="F7" s="1">
        <v>1</v>
      </c>
      <c r="G7" s="1">
        <v>83</v>
      </c>
      <c r="H7" s="1">
        <v>0</v>
      </c>
      <c r="I7" s="1">
        <v>0</v>
      </c>
      <c r="J7" s="1">
        <v>3.2</v>
      </c>
      <c r="K7" s="1">
        <v>1</v>
      </c>
      <c r="L7" s="1">
        <v>0</v>
      </c>
      <c r="M7" s="1">
        <v>100</v>
      </c>
      <c r="N7" s="1">
        <v>0</v>
      </c>
      <c r="O7" s="1">
        <v>0</v>
      </c>
      <c r="P7" s="1">
        <v>0</v>
      </c>
      <c r="Q7" s="1" t="s">
        <v>39</v>
      </c>
      <c r="R7" s="1">
        <v>1</v>
      </c>
      <c r="S7" s="1">
        <v>2</v>
      </c>
      <c r="T7" s="1">
        <v>0</v>
      </c>
      <c r="U7" s="1">
        <v>88</v>
      </c>
      <c r="V7" s="1">
        <v>3.2</v>
      </c>
      <c r="W7" s="1">
        <v>1</v>
      </c>
      <c r="X7" s="1">
        <v>5.0999999999999996</v>
      </c>
      <c r="Y7" s="1">
        <v>1</v>
      </c>
      <c r="Z7" s="1">
        <v>1</v>
      </c>
      <c r="AA7" s="1">
        <v>75</v>
      </c>
      <c r="AB7" s="1">
        <v>2</v>
      </c>
      <c r="AC7" s="1">
        <v>0</v>
      </c>
      <c r="AD7" s="3">
        <v>0</v>
      </c>
      <c r="AE7" s="1">
        <v>7.5</v>
      </c>
      <c r="AF7" s="10">
        <v>0</v>
      </c>
      <c r="AG7" s="9">
        <v>77.779603011635871</v>
      </c>
      <c r="AH7" s="10">
        <v>0</v>
      </c>
      <c r="AI7" s="11">
        <v>86.110882956878854</v>
      </c>
      <c r="AJ7" s="33">
        <v>4</v>
      </c>
      <c r="AK7" s="36">
        <f>58.8/1.56^2</f>
        <v>24.161735700197234</v>
      </c>
      <c r="AL7" s="29">
        <v>3</v>
      </c>
      <c r="AM7" s="23">
        <v>42369</v>
      </c>
      <c r="AN7" s="42"/>
      <c r="AO7" s="33" t="s">
        <v>11</v>
      </c>
      <c r="AP7" s="1"/>
      <c r="AQ7" s="1"/>
    </row>
    <row r="8" spans="1:43" ht="16" x14ac:dyDescent="0.15">
      <c r="A8" s="1">
        <v>15</v>
      </c>
      <c r="B8" s="1">
        <v>1</v>
      </c>
      <c r="C8" s="1">
        <v>1</v>
      </c>
      <c r="D8" s="1">
        <v>1</v>
      </c>
      <c r="E8" s="1">
        <v>2</v>
      </c>
      <c r="F8" s="1">
        <v>0</v>
      </c>
      <c r="G8" s="1">
        <v>77</v>
      </c>
      <c r="H8" s="1">
        <v>0</v>
      </c>
      <c r="I8" s="1">
        <v>0</v>
      </c>
      <c r="J8" s="1">
        <v>2.2000000000000002</v>
      </c>
      <c r="K8" s="1">
        <v>1</v>
      </c>
      <c r="L8" s="1">
        <v>0</v>
      </c>
      <c r="M8" s="1">
        <v>75</v>
      </c>
      <c r="N8" s="1">
        <v>0</v>
      </c>
      <c r="O8" s="1">
        <v>0</v>
      </c>
      <c r="P8" s="1">
        <v>0</v>
      </c>
      <c r="Q8" s="1">
        <v>1</v>
      </c>
      <c r="R8" s="1">
        <v>1</v>
      </c>
      <c r="S8" s="1">
        <v>2</v>
      </c>
      <c r="T8" s="1">
        <v>0</v>
      </c>
      <c r="U8" s="1">
        <v>74</v>
      </c>
      <c r="V8" s="1">
        <v>0</v>
      </c>
      <c r="W8" s="1">
        <v>0</v>
      </c>
      <c r="X8" s="1">
        <v>4.3</v>
      </c>
      <c r="Y8" s="1">
        <v>1</v>
      </c>
      <c r="Z8" s="1">
        <v>1</v>
      </c>
      <c r="AA8" s="1">
        <v>75</v>
      </c>
      <c r="AB8" s="1">
        <v>3</v>
      </c>
      <c r="AC8" s="1">
        <v>0</v>
      </c>
      <c r="AD8" s="3">
        <v>0</v>
      </c>
      <c r="AE8" s="1">
        <v>5</v>
      </c>
      <c r="AF8" s="10">
        <v>0</v>
      </c>
      <c r="AG8" s="9">
        <v>73.390828199863108</v>
      </c>
      <c r="AH8" s="10">
        <v>0</v>
      </c>
      <c r="AI8" s="11">
        <v>85.880903490759749</v>
      </c>
      <c r="AJ8" s="33">
        <v>3</v>
      </c>
      <c r="AK8" s="36">
        <f>71/1.5^2</f>
        <v>31.555555555555557</v>
      </c>
      <c r="AL8" s="29">
        <v>2</v>
      </c>
      <c r="AM8" s="23">
        <v>42369</v>
      </c>
      <c r="AN8" s="42"/>
      <c r="AO8" s="33" t="s">
        <v>14</v>
      </c>
      <c r="AP8" s="1"/>
      <c r="AQ8" s="1"/>
    </row>
    <row r="9" spans="1:43" ht="16" x14ac:dyDescent="0.15">
      <c r="A9" s="1">
        <v>18</v>
      </c>
      <c r="B9" s="1">
        <v>1</v>
      </c>
      <c r="C9" s="1">
        <v>1</v>
      </c>
      <c r="D9" s="1">
        <v>1</v>
      </c>
      <c r="E9" s="1">
        <v>2</v>
      </c>
      <c r="F9" s="1">
        <v>0</v>
      </c>
      <c r="G9" s="1">
        <v>89</v>
      </c>
      <c r="H9" s="1">
        <v>3.6</v>
      </c>
      <c r="I9" s="1">
        <v>1</v>
      </c>
      <c r="J9" s="1">
        <v>6.7</v>
      </c>
      <c r="K9" s="1">
        <v>1</v>
      </c>
      <c r="L9" s="1">
        <v>1</v>
      </c>
      <c r="M9" s="1">
        <v>155</v>
      </c>
      <c r="N9" s="1">
        <v>0</v>
      </c>
      <c r="O9" s="1">
        <v>0</v>
      </c>
      <c r="P9" s="1">
        <v>0</v>
      </c>
      <c r="Q9" s="1">
        <v>1</v>
      </c>
      <c r="R9" s="1">
        <v>1</v>
      </c>
      <c r="S9" s="1">
        <v>2</v>
      </c>
      <c r="T9" s="1">
        <v>0</v>
      </c>
      <c r="U9" s="1">
        <v>92</v>
      </c>
      <c r="V9" s="1">
        <v>2.4</v>
      </c>
      <c r="W9" s="1">
        <v>1</v>
      </c>
      <c r="X9" s="1">
        <v>5</v>
      </c>
      <c r="Y9" s="1">
        <v>1</v>
      </c>
      <c r="Z9" s="1">
        <v>1</v>
      </c>
      <c r="AA9" s="1">
        <v>100</v>
      </c>
      <c r="AB9" s="1">
        <v>2</v>
      </c>
      <c r="AC9" s="1">
        <v>0</v>
      </c>
      <c r="AD9" s="3">
        <v>0</v>
      </c>
      <c r="AE9" s="1">
        <v>6.8</v>
      </c>
      <c r="AF9" s="10">
        <v>0</v>
      </c>
      <c r="AG9" s="9">
        <v>66.458590006844631</v>
      </c>
      <c r="AH9" s="10">
        <v>0</v>
      </c>
      <c r="AI9" s="11">
        <v>80.591375770020534</v>
      </c>
      <c r="AJ9" s="33">
        <v>2</v>
      </c>
      <c r="AK9" s="36">
        <f>81.5/1.53^2</f>
        <v>34.815669187064806</v>
      </c>
      <c r="AL9" s="29">
        <v>2</v>
      </c>
      <c r="AM9" s="23">
        <v>42369</v>
      </c>
      <c r="AN9" s="42"/>
      <c r="AO9" s="33" t="s">
        <v>15</v>
      </c>
      <c r="AP9" s="1"/>
      <c r="AQ9" s="1"/>
    </row>
    <row r="10" spans="1:43" ht="16" x14ac:dyDescent="0.15">
      <c r="A10" s="1">
        <v>21</v>
      </c>
      <c r="B10" s="1">
        <v>1</v>
      </c>
      <c r="C10" s="1">
        <v>1</v>
      </c>
      <c r="D10" s="1">
        <v>1</v>
      </c>
      <c r="E10" s="1">
        <v>2</v>
      </c>
      <c r="F10" s="1">
        <v>1</v>
      </c>
      <c r="G10" s="1">
        <v>47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75</v>
      </c>
      <c r="N10" s="1">
        <v>1</v>
      </c>
      <c r="O10" s="1">
        <v>0</v>
      </c>
      <c r="P10" s="1">
        <v>0</v>
      </c>
      <c r="Q10" s="1">
        <v>1</v>
      </c>
      <c r="R10" s="1">
        <v>1</v>
      </c>
      <c r="S10" s="1">
        <v>2</v>
      </c>
      <c r="T10" s="1">
        <v>1</v>
      </c>
      <c r="U10" s="1">
        <v>53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25</v>
      </c>
      <c r="AB10" s="1">
        <v>2</v>
      </c>
      <c r="AC10" s="1">
        <v>0</v>
      </c>
      <c r="AD10" s="3">
        <v>0</v>
      </c>
      <c r="AE10" s="1">
        <v>5.6</v>
      </c>
      <c r="AF10" s="10">
        <v>0</v>
      </c>
      <c r="AG10" s="9">
        <v>64.955509924709105</v>
      </c>
      <c r="AH10" s="10">
        <v>0</v>
      </c>
      <c r="AI10" s="11">
        <v>73.46201232032854</v>
      </c>
      <c r="AJ10" s="33">
        <v>6</v>
      </c>
      <c r="AK10" s="36">
        <f>76.7/1.518^2</f>
        <v>33.285249817299999</v>
      </c>
      <c r="AL10" s="29">
        <v>3</v>
      </c>
      <c r="AM10" s="23">
        <v>42369</v>
      </c>
      <c r="AN10" s="42"/>
      <c r="AO10" s="33" t="s">
        <v>16</v>
      </c>
      <c r="AP10" s="1"/>
      <c r="AQ10" s="1"/>
    </row>
    <row r="11" spans="1:43" ht="16" x14ac:dyDescent="0.15">
      <c r="A11" s="1">
        <v>27</v>
      </c>
      <c r="B11" s="1">
        <v>1</v>
      </c>
      <c r="C11" s="1" t="s">
        <v>39</v>
      </c>
      <c r="D11" s="1">
        <v>1</v>
      </c>
      <c r="E11" s="1">
        <v>2</v>
      </c>
      <c r="F11" s="1">
        <v>1</v>
      </c>
      <c r="G11" s="1">
        <v>89</v>
      </c>
      <c r="H11" s="1">
        <v>1.4</v>
      </c>
      <c r="I11" s="1">
        <v>1</v>
      </c>
      <c r="J11" s="1">
        <v>2.7</v>
      </c>
      <c r="K11" s="1">
        <v>1</v>
      </c>
      <c r="L11" s="1">
        <v>0</v>
      </c>
      <c r="M11" s="1">
        <v>100</v>
      </c>
      <c r="N11" s="1">
        <v>0</v>
      </c>
      <c r="O11" s="1">
        <v>0</v>
      </c>
      <c r="P11" s="1">
        <v>0</v>
      </c>
      <c r="Q11" s="1">
        <v>1</v>
      </c>
      <c r="R11" s="1">
        <v>1</v>
      </c>
      <c r="S11" s="1">
        <v>2</v>
      </c>
      <c r="T11" s="1">
        <v>1</v>
      </c>
      <c r="U11" s="1">
        <v>77</v>
      </c>
      <c r="V11" s="1">
        <v>0</v>
      </c>
      <c r="W11" s="1">
        <v>0</v>
      </c>
      <c r="X11" s="1">
        <v>1.2</v>
      </c>
      <c r="Y11" s="1">
        <v>0</v>
      </c>
      <c r="Z11" s="1">
        <v>0</v>
      </c>
      <c r="AA11" s="1">
        <v>25</v>
      </c>
      <c r="AB11" s="1">
        <v>0</v>
      </c>
      <c r="AC11" s="1">
        <v>0</v>
      </c>
      <c r="AD11" s="3">
        <v>0</v>
      </c>
      <c r="AE11" s="1">
        <v>7.2</v>
      </c>
      <c r="AF11" s="10">
        <v>0</v>
      </c>
      <c r="AG11" s="9">
        <v>71.906913073237504</v>
      </c>
      <c r="AH11" s="10">
        <v>0</v>
      </c>
      <c r="AI11" s="11">
        <v>68.336755646817252</v>
      </c>
      <c r="AJ11" s="33">
        <v>2</v>
      </c>
      <c r="AK11" s="36">
        <f>69.7/1.47^2</f>
        <v>32.255078902309229</v>
      </c>
      <c r="AL11" s="29">
        <v>3</v>
      </c>
      <c r="AM11" s="23">
        <v>42369</v>
      </c>
      <c r="AN11" s="42"/>
      <c r="AO11" s="33" t="s">
        <v>6</v>
      </c>
      <c r="AP11" s="1"/>
      <c r="AQ11" s="1"/>
    </row>
    <row r="12" spans="1:43" ht="16" x14ac:dyDescent="0.15">
      <c r="A12" s="1">
        <v>31</v>
      </c>
      <c r="B12" s="1">
        <v>1</v>
      </c>
      <c r="C12" s="1">
        <v>1</v>
      </c>
      <c r="D12" s="1">
        <v>1</v>
      </c>
      <c r="E12" s="1">
        <v>2</v>
      </c>
      <c r="F12" s="1">
        <v>0</v>
      </c>
      <c r="G12" s="1">
        <v>91</v>
      </c>
      <c r="H12" s="1">
        <v>1.8</v>
      </c>
      <c r="I12" s="1">
        <v>1</v>
      </c>
      <c r="J12" s="1">
        <v>3.2</v>
      </c>
      <c r="K12" s="1">
        <v>1</v>
      </c>
      <c r="L12" s="1">
        <v>0</v>
      </c>
      <c r="M12" s="1">
        <v>100</v>
      </c>
      <c r="N12" s="1">
        <v>2</v>
      </c>
      <c r="O12" s="1">
        <v>0</v>
      </c>
      <c r="P12" s="1">
        <v>0</v>
      </c>
      <c r="Q12" s="1">
        <v>1</v>
      </c>
      <c r="R12" s="1">
        <v>1</v>
      </c>
      <c r="S12" s="1">
        <v>2</v>
      </c>
      <c r="T12" s="1">
        <v>0</v>
      </c>
      <c r="U12" s="1">
        <v>95</v>
      </c>
      <c r="V12" s="1">
        <v>3.2</v>
      </c>
      <c r="W12" s="1">
        <v>1</v>
      </c>
      <c r="X12" s="1">
        <v>6</v>
      </c>
      <c r="Y12" s="1">
        <v>1</v>
      </c>
      <c r="Z12" s="1">
        <v>1</v>
      </c>
      <c r="AA12" s="1">
        <v>100</v>
      </c>
      <c r="AB12" s="1">
        <v>0</v>
      </c>
      <c r="AC12" s="1">
        <v>0</v>
      </c>
      <c r="AD12" s="3">
        <v>0</v>
      </c>
      <c r="AE12" s="1">
        <v>8</v>
      </c>
      <c r="AF12" s="10">
        <v>0</v>
      </c>
      <c r="AG12" s="9">
        <v>69.355236139630392</v>
      </c>
      <c r="AH12" s="10">
        <v>0</v>
      </c>
      <c r="AI12" s="11">
        <v>64.591375770020534</v>
      </c>
      <c r="AJ12" s="33">
        <v>2</v>
      </c>
      <c r="AK12" s="36">
        <f>70.6/1.48^2</f>
        <v>32.231555880204525</v>
      </c>
      <c r="AL12" s="29">
        <v>3</v>
      </c>
      <c r="AM12" s="23">
        <v>42369</v>
      </c>
      <c r="AN12" s="42"/>
      <c r="AO12" s="33" t="s">
        <v>18</v>
      </c>
      <c r="AP12" s="1"/>
      <c r="AQ12" s="1"/>
    </row>
    <row r="13" spans="1:43" ht="16" x14ac:dyDescent="0.15">
      <c r="A13" s="1">
        <v>33</v>
      </c>
      <c r="B13" s="1">
        <v>2</v>
      </c>
      <c r="C13" s="1">
        <v>1</v>
      </c>
      <c r="D13" s="1">
        <v>1</v>
      </c>
      <c r="E13" s="1">
        <v>2</v>
      </c>
      <c r="F13" s="1">
        <v>0</v>
      </c>
      <c r="G13" s="1">
        <v>72</v>
      </c>
      <c r="H13" s="1">
        <v>0</v>
      </c>
      <c r="I13" s="1">
        <v>0</v>
      </c>
      <c r="J13" s="1">
        <v>1.5</v>
      </c>
      <c r="K13" s="1">
        <v>0</v>
      </c>
      <c r="L13" s="1">
        <v>0</v>
      </c>
      <c r="M13" s="1">
        <v>100</v>
      </c>
      <c r="N13" s="1">
        <v>5</v>
      </c>
      <c r="O13" s="1">
        <v>0</v>
      </c>
      <c r="P13" s="1">
        <v>0</v>
      </c>
      <c r="Q13" s="1">
        <v>1</v>
      </c>
      <c r="R13" s="1">
        <v>1</v>
      </c>
      <c r="S13" s="1">
        <v>2</v>
      </c>
      <c r="T13" s="1">
        <v>0</v>
      </c>
      <c r="U13" s="1">
        <v>77</v>
      </c>
      <c r="V13" s="1">
        <v>0</v>
      </c>
      <c r="W13" s="1">
        <v>0</v>
      </c>
      <c r="X13" s="1">
        <v>4</v>
      </c>
      <c r="Y13" s="1">
        <v>1</v>
      </c>
      <c r="Z13" s="1">
        <v>1</v>
      </c>
      <c r="AA13" s="1">
        <v>100</v>
      </c>
      <c r="AB13" s="1">
        <v>5</v>
      </c>
      <c r="AC13" s="1">
        <v>0</v>
      </c>
      <c r="AD13" s="3">
        <v>0</v>
      </c>
      <c r="AE13" s="1">
        <v>4.5</v>
      </c>
      <c r="AF13" s="10">
        <v>0</v>
      </c>
      <c r="AG13" s="9">
        <v>56.002737850787135</v>
      </c>
      <c r="AH13" s="10">
        <v>0</v>
      </c>
      <c r="AI13" s="11">
        <v>59.630390143737166</v>
      </c>
      <c r="AJ13" s="33">
        <v>1</v>
      </c>
      <c r="AK13" s="36">
        <f>76.9/1.56^2</f>
        <v>31.599276791584483</v>
      </c>
      <c r="AL13" s="29">
        <v>2</v>
      </c>
      <c r="AM13" s="23">
        <v>42369</v>
      </c>
      <c r="AN13" s="42"/>
      <c r="AO13" s="33" t="s">
        <v>15</v>
      </c>
      <c r="AP13" s="1"/>
      <c r="AQ13" s="1"/>
    </row>
    <row r="14" spans="1:43" ht="16" x14ac:dyDescent="0.15">
      <c r="A14" s="3">
        <v>36</v>
      </c>
      <c r="B14" s="3">
        <v>1</v>
      </c>
      <c r="C14" s="3" t="s">
        <v>43</v>
      </c>
      <c r="D14" s="3">
        <v>0</v>
      </c>
      <c r="E14" s="3">
        <v>2</v>
      </c>
      <c r="F14" s="3">
        <v>0</v>
      </c>
      <c r="G14" s="3">
        <v>95</v>
      </c>
      <c r="H14" s="3">
        <v>6</v>
      </c>
      <c r="I14" s="3">
        <v>1</v>
      </c>
      <c r="J14" s="3">
        <v>8</v>
      </c>
      <c r="K14" s="3">
        <v>1</v>
      </c>
      <c r="L14" s="3">
        <v>1</v>
      </c>
      <c r="M14" s="3">
        <v>150</v>
      </c>
      <c r="N14" s="3">
        <v>0</v>
      </c>
      <c r="O14" s="3">
        <v>0</v>
      </c>
      <c r="P14" s="1">
        <v>0</v>
      </c>
      <c r="Q14" s="3" t="s">
        <v>39</v>
      </c>
      <c r="R14" s="3">
        <v>0</v>
      </c>
      <c r="S14" s="3">
        <v>2</v>
      </c>
      <c r="T14" s="3">
        <v>0</v>
      </c>
      <c r="U14" s="3">
        <v>90</v>
      </c>
      <c r="V14" s="3">
        <v>10</v>
      </c>
      <c r="W14" s="3">
        <v>1</v>
      </c>
      <c r="X14" s="3">
        <v>13</v>
      </c>
      <c r="Y14" s="3">
        <v>1</v>
      </c>
      <c r="Z14" s="3">
        <v>1</v>
      </c>
      <c r="AA14" s="3">
        <v>150</v>
      </c>
      <c r="AB14" s="3">
        <v>0</v>
      </c>
      <c r="AC14" s="3">
        <v>0</v>
      </c>
      <c r="AD14" s="3">
        <v>0</v>
      </c>
      <c r="AE14" s="3">
        <v>6</v>
      </c>
      <c r="AF14" s="31">
        <v>0</v>
      </c>
      <c r="AG14" s="9">
        <v>75.039014373716626</v>
      </c>
      <c r="AH14" s="10">
        <v>0</v>
      </c>
      <c r="AI14" s="11">
        <v>44.2217659137577</v>
      </c>
      <c r="AJ14" s="33">
        <v>3</v>
      </c>
      <c r="AK14" s="36">
        <f>73.2/1.54^2</f>
        <v>30.865238657446451</v>
      </c>
      <c r="AL14" s="29">
        <v>3</v>
      </c>
      <c r="AM14" s="23">
        <v>42369</v>
      </c>
      <c r="AN14" s="42"/>
      <c r="AO14" s="33" t="s">
        <v>15</v>
      </c>
      <c r="AP14" s="3"/>
      <c r="AQ14" s="3"/>
    </row>
    <row r="15" spans="1:43" ht="16" x14ac:dyDescent="0.15">
      <c r="A15" s="1">
        <v>38</v>
      </c>
      <c r="B15" s="1">
        <v>0</v>
      </c>
      <c r="C15" s="1">
        <v>1</v>
      </c>
      <c r="D15" s="1">
        <v>1</v>
      </c>
      <c r="E15" s="1">
        <v>1</v>
      </c>
      <c r="F15" s="1">
        <v>0</v>
      </c>
      <c r="G15" s="1">
        <v>80</v>
      </c>
      <c r="H15" s="1">
        <v>0</v>
      </c>
      <c r="I15" s="1">
        <v>0</v>
      </c>
      <c r="J15" s="1">
        <v>3.5</v>
      </c>
      <c r="K15" s="1">
        <v>1</v>
      </c>
      <c r="L15" s="1">
        <v>0</v>
      </c>
      <c r="M15" s="1">
        <v>100</v>
      </c>
      <c r="N15" s="1">
        <v>0</v>
      </c>
      <c r="O15" s="1">
        <v>0</v>
      </c>
      <c r="P15" s="1">
        <v>0</v>
      </c>
      <c r="Q15" s="1">
        <v>1</v>
      </c>
      <c r="R15" s="1">
        <v>1</v>
      </c>
      <c r="S15" s="1">
        <v>1</v>
      </c>
      <c r="T15" s="1">
        <v>0</v>
      </c>
      <c r="U15" s="1">
        <v>75</v>
      </c>
      <c r="V15" s="1">
        <v>0</v>
      </c>
      <c r="W15" s="1">
        <v>0</v>
      </c>
      <c r="X15" s="1">
        <v>3</v>
      </c>
      <c r="Y15" s="1">
        <v>1</v>
      </c>
      <c r="Z15" s="1">
        <v>0</v>
      </c>
      <c r="AA15" s="1">
        <v>75</v>
      </c>
      <c r="AB15" s="1">
        <v>3</v>
      </c>
      <c r="AC15" s="1">
        <v>0</v>
      </c>
      <c r="AD15" s="3">
        <v>0</v>
      </c>
      <c r="AE15" s="1">
        <v>5</v>
      </c>
      <c r="AF15" s="10">
        <v>1</v>
      </c>
      <c r="AG15" s="9">
        <v>63.676933607118414</v>
      </c>
      <c r="AH15" s="10">
        <v>0</v>
      </c>
      <c r="AI15" s="11">
        <v>44.386036960985628</v>
      </c>
      <c r="AJ15" s="33">
        <v>4</v>
      </c>
      <c r="AK15" s="36">
        <f>64/1.66^2</f>
        <v>23.225431847873423</v>
      </c>
      <c r="AL15" s="29">
        <v>2</v>
      </c>
      <c r="AM15" s="23">
        <v>42369</v>
      </c>
      <c r="AN15" s="42"/>
      <c r="AO15" s="33" t="s">
        <v>19</v>
      </c>
      <c r="AP15" s="1"/>
      <c r="AQ15" s="1"/>
    </row>
    <row r="16" spans="1:43" ht="16" x14ac:dyDescent="0.15">
      <c r="A16" s="1">
        <v>40</v>
      </c>
      <c r="B16" s="1">
        <v>2</v>
      </c>
      <c r="C16" s="1">
        <v>1</v>
      </c>
      <c r="D16" s="1">
        <v>1</v>
      </c>
      <c r="E16" s="1">
        <v>2</v>
      </c>
      <c r="F16" s="1">
        <v>0</v>
      </c>
      <c r="G16" s="1">
        <v>78</v>
      </c>
      <c r="H16" s="1">
        <v>0</v>
      </c>
      <c r="I16" s="1">
        <v>0</v>
      </c>
      <c r="J16" s="1">
        <v>5</v>
      </c>
      <c r="K16" s="1">
        <v>1</v>
      </c>
      <c r="L16" s="1">
        <v>1</v>
      </c>
      <c r="M16" s="1">
        <v>100</v>
      </c>
      <c r="N16" s="1">
        <v>2</v>
      </c>
      <c r="O16" s="1">
        <v>0</v>
      </c>
      <c r="P16" s="1">
        <v>0</v>
      </c>
      <c r="Q16" s="1" t="s">
        <v>39</v>
      </c>
      <c r="R16" s="1">
        <v>0</v>
      </c>
      <c r="S16" s="1">
        <v>3</v>
      </c>
      <c r="T16" s="1">
        <v>0</v>
      </c>
      <c r="U16" s="1">
        <v>65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100</v>
      </c>
      <c r="AB16" s="1">
        <v>6</v>
      </c>
      <c r="AC16" s="1">
        <v>0</v>
      </c>
      <c r="AD16" s="3">
        <v>0</v>
      </c>
      <c r="AE16" s="1">
        <v>5</v>
      </c>
      <c r="AF16" s="10">
        <v>0</v>
      </c>
      <c r="AG16" s="9">
        <v>57.34428473648186</v>
      </c>
      <c r="AH16" s="10">
        <v>0</v>
      </c>
      <c r="AI16" s="11">
        <v>42.513347022587268</v>
      </c>
      <c r="AJ16" s="33">
        <v>1</v>
      </c>
      <c r="AK16" s="36">
        <f>54.2/1.5^2</f>
        <v>24.088888888888889</v>
      </c>
      <c r="AL16" s="29">
        <v>2</v>
      </c>
      <c r="AM16" s="23">
        <v>42369</v>
      </c>
      <c r="AN16" s="42"/>
      <c r="AO16" s="33" t="s">
        <v>15</v>
      </c>
      <c r="AP16" s="1"/>
      <c r="AQ16" s="1"/>
    </row>
    <row r="17" spans="1:43" ht="16" x14ac:dyDescent="0.15">
      <c r="A17" s="1">
        <v>42</v>
      </c>
      <c r="B17" s="1">
        <v>1</v>
      </c>
      <c r="C17" s="1">
        <v>1</v>
      </c>
      <c r="D17" s="1">
        <v>1</v>
      </c>
      <c r="E17" s="1">
        <v>2</v>
      </c>
      <c r="F17" s="1">
        <v>0</v>
      </c>
      <c r="G17" s="1">
        <v>90</v>
      </c>
      <c r="H17" s="1">
        <v>4</v>
      </c>
      <c r="I17" s="1">
        <v>1</v>
      </c>
      <c r="J17" s="1">
        <v>5</v>
      </c>
      <c r="K17" s="1">
        <v>1</v>
      </c>
      <c r="L17" s="1">
        <v>1</v>
      </c>
      <c r="M17" s="1">
        <v>100</v>
      </c>
      <c r="N17" s="1">
        <v>0</v>
      </c>
      <c r="O17" s="1">
        <v>0</v>
      </c>
      <c r="P17" s="1">
        <v>0</v>
      </c>
      <c r="Q17" s="1" t="s">
        <v>39</v>
      </c>
      <c r="R17" s="1">
        <v>1</v>
      </c>
      <c r="S17" s="1">
        <v>2</v>
      </c>
      <c r="T17" s="1">
        <v>0</v>
      </c>
      <c r="U17" s="1">
        <v>60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100</v>
      </c>
      <c r="AB17" s="1">
        <v>0</v>
      </c>
      <c r="AC17" s="1">
        <v>0</v>
      </c>
      <c r="AD17" s="3">
        <v>0</v>
      </c>
      <c r="AE17" s="1">
        <v>5</v>
      </c>
      <c r="AF17" s="10">
        <v>0</v>
      </c>
      <c r="AG17" s="9">
        <v>74.978781656399732</v>
      </c>
      <c r="AH17" s="10">
        <v>0</v>
      </c>
      <c r="AI17" s="11">
        <v>37.223819301848046</v>
      </c>
      <c r="AJ17" s="33">
        <v>3</v>
      </c>
      <c r="AK17" s="36">
        <f>54/1.47^2</f>
        <v>24.989587671803417</v>
      </c>
      <c r="AL17" s="29">
        <v>2</v>
      </c>
      <c r="AM17" s="23">
        <v>42369</v>
      </c>
      <c r="AN17" s="42"/>
      <c r="AO17" s="33" t="s">
        <v>15</v>
      </c>
      <c r="AP17" s="1"/>
      <c r="AQ17" s="1"/>
    </row>
    <row r="18" spans="1:43" ht="16" x14ac:dyDescent="0.15">
      <c r="A18" s="1">
        <v>47</v>
      </c>
      <c r="B18" s="1">
        <v>1</v>
      </c>
      <c r="C18" s="1" t="s">
        <v>39</v>
      </c>
      <c r="D18" s="1">
        <v>1</v>
      </c>
      <c r="E18" s="1">
        <v>2</v>
      </c>
      <c r="F18" s="1">
        <v>0</v>
      </c>
      <c r="G18" s="1">
        <v>97</v>
      </c>
      <c r="H18" s="1">
        <v>3.5</v>
      </c>
      <c r="I18" s="1">
        <v>1</v>
      </c>
      <c r="J18" s="1">
        <v>5</v>
      </c>
      <c r="K18" s="1">
        <v>1</v>
      </c>
      <c r="L18" s="1">
        <v>1</v>
      </c>
      <c r="M18" s="1">
        <v>100</v>
      </c>
      <c r="N18" s="1">
        <v>2</v>
      </c>
      <c r="O18" s="1">
        <v>0</v>
      </c>
      <c r="P18" s="1">
        <v>0</v>
      </c>
      <c r="Q18" s="1" t="s">
        <v>39</v>
      </c>
      <c r="R18" s="1">
        <v>1</v>
      </c>
      <c r="S18" s="1">
        <v>3</v>
      </c>
      <c r="T18" s="1">
        <v>0</v>
      </c>
      <c r="U18" s="1">
        <v>90</v>
      </c>
      <c r="V18" s="1">
        <v>5</v>
      </c>
      <c r="W18" s="1">
        <v>1</v>
      </c>
      <c r="X18" s="1">
        <v>7</v>
      </c>
      <c r="Y18" s="1">
        <v>1</v>
      </c>
      <c r="Z18" s="1">
        <v>1</v>
      </c>
      <c r="AA18" s="1">
        <v>100</v>
      </c>
      <c r="AB18" s="1">
        <v>6</v>
      </c>
      <c r="AC18" s="1">
        <v>0</v>
      </c>
      <c r="AD18" s="3">
        <v>0</v>
      </c>
      <c r="AE18" s="1">
        <v>6</v>
      </c>
      <c r="AF18" s="10">
        <v>0</v>
      </c>
      <c r="AG18" s="9">
        <v>78.672142368240927</v>
      </c>
      <c r="AH18" s="10">
        <v>0</v>
      </c>
      <c r="AI18" s="11">
        <v>27.597535934291582</v>
      </c>
      <c r="AJ18" s="33">
        <v>4</v>
      </c>
      <c r="AK18" s="29">
        <f>58/1.42^2</f>
        <v>28.764134100376911</v>
      </c>
      <c r="AL18" s="29">
        <v>3</v>
      </c>
      <c r="AM18" s="23">
        <v>42369</v>
      </c>
      <c r="AN18" s="42"/>
      <c r="AO18" s="33" t="s">
        <v>8</v>
      </c>
      <c r="AP18" s="1"/>
      <c r="AQ18" s="1"/>
    </row>
    <row r="19" spans="1:43" ht="16" x14ac:dyDescent="0.15">
      <c r="A19" s="1">
        <v>49</v>
      </c>
      <c r="B19" s="1">
        <v>1</v>
      </c>
      <c r="C19" s="1" t="s">
        <v>39</v>
      </c>
      <c r="D19" s="1">
        <v>0</v>
      </c>
      <c r="E19" s="1">
        <v>2</v>
      </c>
      <c r="F19" s="1">
        <v>0</v>
      </c>
      <c r="G19" s="3">
        <v>90</v>
      </c>
      <c r="H19" s="3">
        <v>3</v>
      </c>
      <c r="I19" s="3">
        <v>1</v>
      </c>
      <c r="J19" s="3">
        <v>4</v>
      </c>
      <c r="K19" s="3">
        <v>1</v>
      </c>
      <c r="L19" s="3">
        <v>1</v>
      </c>
      <c r="M19" s="1">
        <v>100</v>
      </c>
      <c r="N19" s="1">
        <v>5</v>
      </c>
      <c r="O19" s="1">
        <v>0</v>
      </c>
      <c r="P19" s="1">
        <v>0</v>
      </c>
      <c r="Q19" s="1" t="s">
        <v>39</v>
      </c>
      <c r="R19" s="1">
        <v>0</v>
      </c>
      <c r="S19" s="1">
        <v>2</v>
      </c>
      <c r="T19" s="1">
        <v>0</v>
      </c>
      <c r="U19" s="1">
        <v>90</v>
      </c>
      <c r="V19" s="1">
        <v>4</v>
      </c>
      <c r="W19" s="1">
        <v>1</v>
      </c>
      <c r="X19" s="1">
        <v>6.5</v>
      </c>
      <c r="Y19" s="1">
        <v>1</v>
      </c>
      <c r="Z19" s="1">
        <v>1</v>
      </c>
      <c r="AA19" s="1">
        <v>100</v>
      </c>
      <c r="AB19" s="1">
        <v>2</v>
      </c>
      <c r="AC19" s="1">
        <v>0</v>
      </c>
      <c r="AD19" s="3">
        <v>0</v>
      </c>
      <c r="AE19" s="1">
        <v>5</v>
      </c>
      <c r="AF19" s="10">
        <v>0</v>
      </c>
      <c r="AG19" s="9">
        <v>81.593429158110879</v>
      </c>
      <c r="AH19" s="10">
        <v>0</v>
      </c>
      <c r="AI19" s="11">
        <v>42.283367556468171</v>
      </c>
      <c r="AJ19" s="33">
        <v>5</v>
      </c>
      <c r="AK19" s="36">
        <f>67.8/1.51^2</f>
        <v>29.735537915003725</v>
      </c>
      <c r="AL19" s="29">
        <v>2</v>
      </c>
      <c r="AM19" s="23">
        <v>42369</v>
      </c>
      <c r="AN19" s="42"/>
      <c r="AO19" s="33" t="s">
        <v>13</v>
      </c>
      <c r="AP19" s="1"/>
      <c r="AQ19" s="1"/>
    </row>
    <row r="20" spans="1:43" ht="16" x14ac:dyDescent="0.15">
      <c r="A20" s="1">
        <v>50</v>
      </c>
      <c r="B20" s="1">
        <v>1</v>
      </c>
      <c r="C20" s="1" t="s">
        <v>39</v>
      </c>
      <c r="D20" s="1">
        <v>0</v>
      </c>
      <c r="E20" s="1">
        <v>2</v>
      </c>
      <c r="F20" s="1">
        <v>0</v>
      </c>
      <c r="G20" s="1">
        <v>97</v>
      </c>
      <c r="H20" s="1">
        <v>2</v>
      </c>
      <c r="I20" s="1">
        <v>1</v>
      </c>
      <c r="J20" s="1">
        <v>3.5</v>
      </c>
      <c r="K20" s="1">
        <v>1</v>
      </c>
      <c r="L20" s="1">
        <v>0</v>
      </c>
      <c r="M20" s="1">
        <v>100</v>
      </c>
      <c r="N20" s="1">
        <v>2</v>
      </c>
      <c r="O20" s="1">
        <v>0</v>
      </c>
      <c r="P20" s="1">
        <v>0</v>
      </c>
      <c r="Q20" s="1" t="s">
        <v>39</v>
      </c>
      <c r="R20" s="1">
        <v>0</v>
      </c>
      <c r="S20" s="1">
        <v>2</v>
      </c>
      <c r="T20" s="1">
        <v>0</v>
      </c>
      <c r="U20" s="1">
        <v>82</v>
      </c>
      <c r="V20" s="1">
        <v>0</v>
      </c>
      <c r="W20" s="1">
        <v>0</v>
      </c>
      <c r="X20" s="1">
        <v>5.5</v>
      </c>
      <c r="Y20" s="1">
        <v>1</v>
      </c>
      <c r="Z20" s="1">
        <v>1</v>
      </c>
      <c r="AA20" s="1">
        <v>100</v>
      </c>
      <c r="AB20" s="1">
        <v>2</v>
      </c>
      <c r="AC20" s="1">
        <v>0</v>
      </c>
      <c r="AD20" s="3">
        <v>0</v>
      </c>
      <c r="AE20" s="1">
        <v>6</v>
      </c>
      <c r="AF20" s="10">
        <v>0</v>
      </c>
      <c r="AG20" s="9">
        <v>82.280629705681037</v>
      </c>
      <c r="AH20" s="10">
        <v>0</v>
      </c>
      <c r="AI20" s="11">
        <v>34.036960985626287</v>
      </c>
      <c r="AJ20" s="33">
        <v>5</v>
      </c>
      <c r="AK20" s="36">
        <f>67.8/1.51^2</f>
        <v>29.735537915003725</v>
      </c>
      <c r="AL20" s="29">
        <v>3</v>
      </c>
      <c r="AM20" s="23">
        <v>42369</v>
      </c>
      <c r="AN20" s="42"/>
      <c r="AO20" s="33" t="s">
        <v>13</v>
      </c>
      <c r="AP20" s="1"/>
      <c r="AQ20" s="1"/>
    </row>
    <row r="21" spans="1:43" ht="16" x14ac:dyDescent="0.15">
      <c r="A21" s="1">
        <v>51</v>
      </c>
      <c r="B21" s="1">
        <v>1</v>
      </c>
      <c r="C21" s="1" t="s">
        <v>39</v>
      </c>
      <c r="D21" s="1">
        <v>1</v>
      </c>
      <c r="E21" s="1">
        <v>2</v>
      </c>
      <c r="F21" s="1">
        <v>0</v>
      </c>
      <c r="G21" s="1">
        <v>97</v>
      </c>
      <c r="H21" s="1">
        <v>5</v>
      </c>
      <c r="I21" s="1">
        <v>1</v>
      </c>
      <c r="J21" s="1">
        <v>6.5</v>
      </c>
      <c r="K21" s="1">
        <v>1</v>
      </c>
      <c r="L21" s="1">
        <v>1</v>
      </c>
      <c r="M21" s="1">
        <v>155</v>
      </c>
      <c r="N21" s="1">
        <v>2</v>
      </c>
      <c r="O21" s="1">
        <v>0</v>
      </c>
      <c r="P21" s="1">
        <v>0</v>
      </c>
      <c r="Q21" s="1">
        <v>1</v>
      </c>
      <c r="R21" s="1">
        <v>1</v>
      </c>
      <c r="S21" s="1">
        <v>2</v>
      </c>
      <c r="T21" s="1">
        <v>0</v>
      </c>
      <c r="U21" s="1">
        <v>95</v>
      </c>
      <c r="V21" s="1">
        <v>5.5</v>
      </c>
      <c r="W21" s="1">
        <v>1</v>
      </c>
      <c r="X21" s="1">
        <v>7</v>
      </c>
      <c r="Y21" s="1">
        <v>1</v>
      </c>
      <c r="Z21" s="1">
        <v>1</v>
      </c>
      <c r="AA21" s="1">
        <v>100</v>
      </c>
      <c r="AB21" s="1">
        <v>0</v>
      </c>
      <c r="AC21" s="1">
        <v>0</v>
      </c>
      <c r="AD21" s="3">
        <v>0</v>
      </c>
      <c r="AE21" s="1">
        <v>5</v>
      </c>
      <c r="AF21" s="10">
        <v>1</v>
      </c>
      <c r="AG21" s="9">
        <v>68.314852840520189</v>
      </c>
      <c r="AH21" s="10">
        <v>0</v>
      </c>
      <c r="AI21" s="11">
        <v>31.802874743326488</v>
      </c>
      <c r="AJ21" s="33">
        <v>2</v>
      </c>
      <c r="AK21" s="36">
        <f>85.9/1.64^2</f>
        <v>31.937834622248669</v>
      </c>
      <c r="AL21" s="29">
        <v>2</v>
      </c>
      <c r="AM21" s="23">
        <v>42369</v>
      </c>
      <c r="AN21" s="42"/>
      <c r="AO21" s="33" t="s">
        <v>15</v>
      </c>
      <c r="AP21" s="1"/>
      <c r="AQ21" s="1"/>
    </row>
    <row r="22" spans="1:43" ht="16" x14ac:dyDescent="0.15">
      <c r="A22" s="1">
        <v>53</v>
      </c>
      <c r="B22" s="1">
        <v>2</v>
      </c>
      <c r="C22" s="1">
        <v>1</v>
      </c>
      <c r="D22" s="1">
        <v>1</v>
      </c>
      <c r="E22" s="1">
        <v>2</v>
      </c>
      <c r="F22" s="1">
        <v>0</v>
      </c>
      <c r="G22" s="1">
        <v>72</v>
      </c>
      <c r="H22" s="1">
        <v>0</v>
      </c>
      <c r="I22" s="1">
        <v>0</v>
      </c>
      <c r="J22" s="1">
        <v>2</v>
      </c>
      <c r="K22" s="1">
        <v>1</v>
      </c>
      <c r="L22" s="1">
        <v>0</v>
      </c>
      <c r="M22" s="1">
        <v>100</v>
      </c>
      <c r="N22" s="1">
        <v>2</v>
      </c>
      <c r="O22" s="1">
        <v>0</v>
      </c>
      <c r="P22" s="1">
        <v>0</v>
      </c>
      <c r="Q22" s="1" t="s">
        <v>39</v>
      </c>
      <c r="R22" s="1">
        <v>1</v>
      </c>
      <c r="S22" s="1">
        <v>2</v>
      </c>
      <c r="T22" s="1">
        <v>0</v>
      </c>
      <c r="U22" s="1">
        <v>65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100</v>
      </c>
      <c r="AB22" s="1">
        <v>3</v>
      </c>
      <c r="AC22" s="1">
        <v>0</v>
      </c>
      <c r="AD22" s="3">
        <v>0</v>
      </c>
      <c r="AE22" s="1">
        <v>5.5</v>
      </c>
      <c r="AF22" s="10">
        <v>0</v>
      </c>
      <c r="AG22" s="9">
        <v>78.496919917864474</v>
      </c>
      <c r="AH22" s="10">
        <v>0</v>
      </c>
      <c r="AI22" s="11">
        <v>31.04722792607803</v>
      </c>
      <c r="AJ22" s="33">
        <v>3</v>
      </c>
      <c r="AK22" s="36">
        <f>58.5/1.56^2</f>
        <v>24.038461538461537</v>
      </c>
      <c r="AL22" s="29">
        <v>3</v>
      </c>
      <c r="AM22" s="23">
        <v>42369</v>
      </c>
      <c r="AN22" s="42"/>
      <c r="AO22" s="33" t="s">
        <v>20</v>
      </c>
      <c r="AP22" s="1"/>
      <c r="AQ22" s="1"/>
    </row>
    <row r="23" spans="1:43" ht="16" x14ac:dyDescent="0.15">
      <c r="A23" s="1">
        <v>57</v>
      </c>
      <c r="B23" s="1">
        <v>1</v>
      </c>
      <c r="C23" s="1">
        <v>1</v>
      </c>
      <c r="D23" s="1">
        <v>1</v>
      </c>
      <c r="E23" s="1">
        <v>3</v>
      </c>
      <c r="F23" s="1">
        <v>0</v>
      </c>
      <c r="G23" s="1">
        <v>68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100</v>
      </c>
      <c r="N23" s="1">
        <v>0</v>
      </c>
      <c r="O23" s="1">
        <v>0</v>
      </c>
      <c r="P23" s="1">
        <v>0</v>
      </c>
      <c r="Q23" s="1">
        <v>1</v>
      </c>
      <c r="R23" s="1">
        <v>1</v>
      </c>
      <c r="S23" s="1">
        <v>3</v>
      </c>
      <c r="T23" s="1">
        <v>0</v>
      </c>
      <c r="U23" s="1">
        <v>75</v>
      </c>
      <c r="V23" s="1">
        <v>0</v>
      </c>
      <c r="W23" s="1">
        <v>0</v>
      </c>
      <c r="X23" s="1">
        <v>3</v>
      </c>
      <c r="Y23" s="1">
        <v>1</v>
      </c>
      <c r="Z23" s="1">
        <v>0</v>
      </c>
      <c r="AA23" s="1">
        <v>100</v>
      </c>
      <c r="AB23" s="1">
        <v>0</v>
      </c>
      <c r="AC23" s="1">
        <v>0</v>
      </c>
      <c r="AD23" s="3">
        <v>0</v>
      </c>
      <c r="AE23" s="1">
        <v>7</v>
      </c>
      <c r="AF23" s="10">
        <v>0</v>
      </c>
      <c r="AG23" s="9">
        <v>84.240930869267629</v>
      </c>
      <c r="AH23" s="10">
        <v>0</v>
      </c>
      <c r="AI23" s="11">
        <v>26.217659137577002</v>
      </c>
      <c r="AJ23" s="33">
        <v>5</v>
      </c>
      <c r="AK23" s="36">
        <f>63.8/1.51^2</f>
        <v>27.981228893469584</v>
      </c>
      <c r="AL23" s="29">
        <v>3</v>
      </c>
      <c r="AM23" s="23">
        <v>42369</v>
      </c>
      <c r="AN23" s="42"/>
      <c r="AO23" s="33" t="s">
        <v>21</v>
      </c>
      <c r="AP23" s="1"/>
      <c r="AQ23" s="1"/>
    </row>
    <row r="24" spans="1:43" ht="16" x14ac:dyDescent="0.15">
      <c r="A24" s="1">
        <v>67</v>
      </c>
      <c r="B24" s="1">
        <v>1</v>
      </c>
      <c r="C24" s="1">
        <v>1</v>
      </c>
      <c r="D24" s="1">
        <v>1</v>
      </c>
      <c r="E24" s="1">
        <v>2</v>
      </c>
      <c r="F24" s="1">
        <v>0</v>
      </c>
      <c r="G24" s="1">
        <v>87</v>
      </c>
      <c r="H24" s="1">
        <v>1.9</v>
      </c>
      <c r="I24" s="1">
        <v>1</v>
      </c>
      <c r="J24" s="1">
        <v>3.8</v>
      </c>
      <c r="K24" s="1">
        <v>1</v>
      </c>
      <c r="L24" s="1">
        <v>0</v>
      </c>
      <c r="M24" s="1">
        <v>100</v>
      </c>
      <c r="N24" s="1">
        <v>0</v>
      </c>
      <c r="O24" s="1">
        <v>0</v>
      </c>
      <c r="P24" s="1">
        <v>0</v>
      </c>
      <c r="Q24" s="1">
        <v>1</v>
      </c>
      <c r="R24" s="1">
        <v>1</v>
      </c>
      <c r="S24" s="1">
        <v>2</v>
      </c>
      <c r="T24" s="1">
        <v>0</v>
      </c>
      <c r="U24" s="1">
        <v>82</v>
      </c>
      <c r="V24" s="1">
        <v>0</v>
      </c>
      <c r="W24" s="1">
        <v>0</v>
      </c>
      <c r="X24" s="1">
        <v>4.2</v>
      </c>
      <c r="Y24" s="1">
        <v>1</v>
      </c>
      <c r="Z24" s="1">
        <v>1</v>
      </c>
      <c r="AA24" s="1">
        <v>100</v>
      </c>
      <c r="AB24" s="1">
        <v>1</v>
      </c>
      <c r="AC24" s="1">
        <v>0</v>
      </c>
      <c r="AD24" s="3">
        <v>0</v>
      </c>
      <c r="AE24" s="1">
        <v>6</v>
      </c>
      <c r="AF24" s="10">
        <v>0</v>
      </c>
      <c r="AG24" s="9">
        <v>76.802190280629702</v>
      </c>
      <c r="AH24" s="10">
        <v>0</v>
      </c>
      <c r="AI24" s="11">
        <v>90.874743326488712</v>
      </c>
      <c r="AJ24" s="33">
        <v>4</v>
      </c>
      <c r="AK24" s="36">
        <f>63/1.44^2</f>
        <v>30.381944444444446</v>
      </c>
      <c r="AL24" s="29">
        <v>2</v>
      </c>
      <c r="AM24" s="23">
        <v>42369</v>
      </c>
      <c r="AN24" s="42"/>
      <c r="AO24" s="33" t="s">
        <v>22</v>
      </c>
      <c r="AP24" s="1"/>
      <c r="AQ24" s="1"/>
    </row>
    <row r="25" spans="1:43" ht="16" x14ac:dyDescent="0.15">
      <c r="A25" s="1">
        <v>70</v>
      </c>
      <c r="B25" s="1">
        <v>1</v>
      </c>
      <c r="C25" s="1" t="s">
        <v>39</v>
      </c>
      <c r="D25" s="1">
        <v>0</v>
      </c>
      <c r="E25" s="1">
        <v>2</v>
      </c>
      <c r="F25" s="1">
        <v>1</v>
      </c>
      <c r="G25" s="1">
        <v>94</v>
      </c>
      <c r="H25" s="1">
        <v>2.5</v>
      </c>
      <c r="I25" s="1">
        <v>1</v>
      </c>
      <c r="J25" s="1">
        <v>4.8</v>
      </c>
      <c r="K25" s="1">
        <v>1</v>
      </c>
      <c r="L25" s="1">
        <v>1</v>
      </c>
      <c r="M25" s="1">
        <v>100</v>
      </c>
      <c r="N25" s="1">
        <v>0</v>
      </c>
      <c r="O25" s="1">
        <v>0</v>
      </c>
      <c r="P25" s="1">
        <v>0</v>
      </c>
      <c r="Q25" s="1" t="s">
        <v>39</v>
      </c>
      <c r="R25" s="1">
        <v>0</v>
      </c>
      <c r="S25" s="1">
        <v>3</v>
      </c>
      <c r="T25" s="1">
        <v>1</v>
      </c>
      <c r="U25" s="1">
        <v>89</v>
      </c>
      <c r="V25" s="1">
        <v>12.8</v>
      </c>
      <c r="W25" s="1">
        <v>1</v>
      </c>
      <c r="X25" s="1">
        <v>14.7</v>
      </c>
      <c r="Y25" s="1">
        <v>1</v>
      </c>
      <c r="Z25" s="1">
        <v>1</v>
      </c>
      <c r="AA25" s="1">
        <v>155</v>
      </c>
      <c r="AB25" s="1">
        <v>0</v>
      </c>
      <c r="AC25" s="1">
        <v>0</v>
      </c>
      <c r="AD25" s="3">
        <v>0</v>
      </c>
      <c r="AE25" s="1">
        <v>9.5</v>
      </c>
      <c r="AF25" s="10">
        <v>0</v>
      </c>
      <c r="AG25" s="9">
        <v>74.704996577686515</v>
      </c>
      <c r="AH25" s="10">
        <v>0</v>
      </c>
      <c r="AI25" s="11">
        <v>89.199178644763862</v>
      </c>
      <c r="AJ25" s="33">
        <v>4</v>
      </c>
      <c r="AK25" s="36">
        <f>55/1.5^2</f>
        <v>24.444444444444443</v>
      </c>
      <c r="AL25" s="29">
        <v>3</v>
      </c>
      <c r="AM25" s="23">
        <v>42369</v>
      </c>
      <c r="AN25" s="42"/>
      <c r="AO25" s="33" t="s">
        <v>23</v>
      </c>
      <c r="AP25" s="1"/>
      <c r="AQ25" s="1"/>
    </row>
    <row r="26" spans="1:43" ht="16" x14ac:dyDescent="0.15">
      <c r="A26" s="1">
        <v>71</v>
      </c>
      <c r="B26" s="1">
        <v>1</v>
      </c>
      <c r="C26" s="1">
        <v>1</v>
      </c>
      <c r="D26" s="1">
        <v>1</v>
      </c>
      <c r="E26" s="1">
        <v>2</v>
      </c>
      <c r="F26" s="1">
        <v>1</v>
      </c>
      <c r="G26" s="1">
        <v>76</v>
      </c>
      <c r="H26" s="1">
        <v>0</v>
      </c>
      <c r="I26" s="1">
        <v>0</v>
      </c>
      <c r="J26" s="1">
        <v>1.3</v>
      </c>
      <c r="K26" s="1">
        <v>0</v>
      </c>
      <c r="L26" s="1">
        <v>0</v>
      </c>
      <c r="M26" s="1">
        <v>25</v>
      </c>
      <c r="N26" s="1">
        <v>2</v>
      </c>
      <c r="O26" s="1">
        <v>0</v>
      </c>
      <c r="P26" s="1">
        <v>0</v>
      </c>
      <c r="Q26" s="1">
        <v>1</v>
      </c>
      <c r="R26" s="1">
        <v>1</v>
      </c>
      <c r="S26" s="1">
        <v>2</v>
      </c>
      <c r="T26" s="1">
        <v>0</v>
      </c>
      <c r="U26" s="1">
        <v>77</v>
      </c>
      <c r="V26" s="1">
        <v>0</v>
      </c>
      <c r="W26" s="1">
        <v>0</v>
      </c>
      <c r="X26" s="1">
        <v>3.5</v>
      </c>
      <c r="Y26" s="1">
        <v>1</v>
      </c>
      <c r="Z26" s="1">
        <v>0</v>
      </c>
      <c r="AA26" s="1">
        <v>100</v>
      </c>
      <c r="AB26" s="1">
        <v>1</v>
      </c>
      <c r="AC26" s="1">
        <v>0</v>
      </c>
      <c r="AD26" s="3">
        <v>0</v>
      </c>
      <c r="AE26" s="1">
        <v>5.5</v>
      </c>
      <c r="AF26" s="10">
        <v>0</v>
      </c>
      <c r="AG26" s="9">
        <v>62.392881587953454</v>
      </c>
      <c r="AH26" s="10">
        <v>0</v>
      </c>
      <c r="AI26" s="11">
        <v>59.630390143737166</v>
      </c>
      <c r="AJ26" s="33">
        <v>3</v>
      </c>
      <c r="AK26" s="36">
        <f>74/1.4^2</f>
        <v>37.755102040816332</v>
      </c>
      <c r="AL26" s="29">
        <v>2</v>
      </c>
      <c r="AM26" s="23">
        <v>42369</v>
      </c>
      <c r="AN26" s="42"/>
      <c r="AO26" s="33" t="s">
        <v>24</v>
      </c>
      <c r="AP26" s="1"/>
      <c r="AQ26" s="1"/>
    </row>
    <row r="27" spans="1:43" ht="16" x14ac:dyDescent="0.15">
      <c r="A27" s="1">
        <v>71</v>
      </c>
      <c r="B27" s="1">
        <v>1</v>
      </c>
      <c r="C27" s="1">
        <v>1</v>
      </c>
      <c r="D27" s="1">
        <v>1</v>
      </c>
      <c r="E27" s="1">
        <v>1</v>
      </c>
      <c r="F27" s="1">
        <v>0</v>
      </c>
      <c r="G27" s="1">
        <v>73</v>
      </c>
      <c r="H27" s="1">
        <v>0</v>
      </c>
      <c r="I27" s="1">
        <v>0</v>
      </c>
      <c r="J27" s="1">
        <v>2</v>
      </c>
      <c r="K27" s="1">
        <v>1</v>
      </c>
      <c r="L27" s="1">
        <v>0</v>
      </c>
      <c r="M27" s="1">
        <v>100</v>
      </c>
      <c r="N27" s="1">
        <v>1</v>
      </c>
      <c r="O27" s="1">
        <v>0</v>
      </c>
      <c r="P27" s="1">
        <v>0</v>
      </c>
      <c r="Q27" s="1" t="s">
        <v>39</v>
      </c>
      <c r="R27" s="1">
        <v>1</v>
      </c>
      <c r="S27" s="1">
        <v>2</v>
      </c>
      <c r="T27" s="1">
        <v>0</v>
      </c>
      <c r="U27" s="1">
        <v>85</v>
      </c>
      <c r="V27" s="1">
        <v>2</v>
      </c>
      <c r="W27" s="1">
        <v>1</v>
      </c>
      <c r="X27" s="1">
        <v>4.5</v>
      </c>
      <c r="Y27" s="1">
        <v>1</v>
      </c>
      <c r="Z27" s="1">
        <v>1</v>
      </c>
      <c r="AA27" s="1">
        <v>100</v>
      </c>
      <c r="AB27" s="1">
        <v>0</v>
      </c>
      <c r="AC27" s="1">
        <v>0</v>
      </c>
      <c r="AD27" s="3">
        <v>0</v>
      </c>
      <c r="AE27" s="1">
        <v>6.2</v>
      </c>
      <c r="AF27" s="10">
        <v>1</v>
      </c>
      <c r="AG27" s="9">
        <v>79.069130732375086</v>
      </c>
      <c r="AH27" s="10">
        <v>0</v>
      </c>
      <c r="AI27" s="11">
        <v>131.58110882956879</v>
      </c>
      <c r="AJ27" s="33">
        <v>3</v>
      </c>
      <c r="AK27" s="36">
        <f>75.5/1.6^2</f>
        <v>29.492187499999993</v>
      </c>
      <c r="AL27" s="29">
        <v>2</v>
      </c>
      <c r="AM27" s="23">
        <v>42369</v>
      </c>
      <c r="AN27" s="42"/>
      <c r="AO27" s="33" t="s">
        <v>15</v>
      </c>
      <c r="AP27" s="1"/>
      <c r="AQ27" s="1"/>
    </row>
    <row r="28" spans="1:43" ht="48" x14ac:dyDescent="0.15">
      <c r="A28" s="1">
        <v>75</v>
      </c>
      <c r="B28" s="1">
        <v>1</v>
      </c>
      <c r="C28" s="1" t="s">
        <v>39</v>
      </c>
      <c r="D28" s="1">
        <v>1</v>
      </c>
      <c r="E28" s="1">
        <v>3</v>
      </c>
      <c r="F28" s="1">
        <v>0</v>
      </c>
      <c r="G28" s="1">
        <v>61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75</v>
      </c>
      <c r="N28" s="1">
        <v>4</v>
      </c>
      <c r="O28" s="1">
        <v>0</v>
      </c>
      <c r="P28" s="1">
        <v>0</v>
      </c>
      <c r="Q28" s="1">
        <v>1</v>
      </c>
      <c r="R28" s="1">
        <v>1</v>
      </c>
      <c r="S28" s="1">
        <v>3</v>
      </c>
      <c r="T28" s="1">
        <v>0</v>
      </c>
      <c r="U28" s="1">
        <v>58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75</v>
      </c>
      <c r="AB28" s="1">
        <v>5</v>
      </c>
      <c r="AC28" s="1">
        <v>0</v>
      </c>
      <c r="AD28" s="3">
        <v>0</v>
      </c>
      <c r="AE28" s="1">
        <v>0.2</v>
      </c>
      <c r="AF28" s="10">
        <v>0</v>
      </c>
      <c r="AG28" s="9">
        <v>65.826146475017111</v>
      </c>
      <c r="AH28" s="10">
        <v>0</v>
      </c>
      <c r="AI28" s="11">
        <v>101.94661190965093</v>
      </c>
      <c r="AJ28" s="33">
        <v>2</v>
      </c>
      <c r="AK28" s="36">
        <f>64/1.42^2</f>
        <v>31.739734179726245</v>
      </c>
      <c r="AL28" s="29">
        <v>3</v>
      </c>
      <c r="AM28" s="23">
        <v>42369</v>
      </c>
      <c r="AN28" s="42"/>
      <c r="AO28" s="33" t="s">
        <v>20</v>
      </c>
      <c r="AP28" s="1"/>
      <c r="AQ28" s="1" t="s">
        <v>50</v>
      </c>
    </row>
    <row r="29" spans="1:43" ht="16" x14ac:dyDescent="0.15">
      <c r="A29" s="1">
        <v>78</v>
      </c>
      <c r="B29" s="1">
        <v>1</v>
      </c>
      <c r="C29" s="1" t="s">
        <v>39</v>
      </c>
      <c r="D29" s="1">
        <v>0</v>
      </c>
      <c r="E29" s="1">
        <v>2</v>
      </c>
      <c r="F29" s="1">
        <v>0</v>
      </c>
      <c r="G29" s="1">
        <v>80</v>
      </c>
      <c r="H29" s="1">
        <v>0</v>
      </c>
      <c r="I29" s="1">
        <v>0</v>
      </c>
      <c r="J29" s="1">
        <v>2.8</v>
      </c>
      <c r="K29" s="1">
        <v>1</v>
      </c>
      <c r="L29" s="1">
        <v>0</v>
      </c>
      <c r="M29" s="1">
        <v>100</v>
      </c>
      <c r="N29" s="1">
        <v>2</v>
      </c>
      <c r="O29" s="1">
        <v>0</v>
      </c>
      <c r="P29" s="1">
        <v>0</v>
      </c>
      <c r="Q29" s="1" t="s">
        <v>39</v>
      </c>
      <c r="R29" s="1">
        <v>0</v>
      </c>
      <c r="S29" s="1">
        <v>2</v>
      </c>
      <c r="T29" s="1">
        <v>0</v>
      </c>
      <c r="U29" s="1">
        <v>85</v>
      </c>
      <c r="V29" s="1">
        <v>2.5</v>
      </c>
      <c r="W29" s="1">
        <v>1</v>
      </c>
      <c r="X29" s="1">
        <v>5.3</v>
      </c>
      <c r="Y29" s="1">
        <v>1</v>
      </c>
      <c r="Z29" s="1">
        <v>1</v>
      </c>
      <c r="AA29" s="1">
        <v>75</v>
      </c>
      <c r="AB29" s="1">
        <v>2</v>
      </c>
      <c r="AC29" s="1">
        <v>0</v>
      </c>
      <c r="AD29" s="3">
        <v>0</v>
      </c>
      <c r="AE29" s="1">
        <v>4.5</v>
      </c>
      <c r="AF29" s="10">
        <v>0</v>
      </c>
      <c r="AG29" s="9">
        <v>72.008213552361397</v>
      </c>
      <c r="AH29" s="10">
        <v>0</v>
      </c>
      <c r="AI29" s="11">
        <v>96.427104722792606</v>
      </c>
      <c r="AJ29" s="33">
        <v>3</v>
      </c>
      <c r="AK29" s="36">
        <f>55/1.4^2</f>
        <v>28.061224489795922</v>
      </c>
      <c r="AL29" s="29">
        <v>3</v>
      </c>
      <c r="AM29" s="23">
        <v>42369</v>
      </c>
      <c r="AN29" s="42"/>
      <c r="AO29" s="33" t="s">
        <v>15</v>
      </c>
      <c r="AP29" s="1"/>
      <c r="AQ29" s="1"/>
    </row>
    <row r="30" spans="1:43" ht="16" x14ac:dyDescent="0.15">
      <c r="A30" s="1">
        <v>85</v>
      </c>
      <c r="B30" s="1">
        <v>1</v>
      </c>
      <c r="C30" s="1" t="s">
        <v>39</v>
      </c>
      <c r="D30" s="1">
        <v>1</v>
      </c>
      <c r="E30" s="1">
        <v>3</v>
      </c>
      <c r="F30" s="1">
        <v>0</v>
      </c>
      <c r="G30" s="1">
        <v>85</v>
      </c>
      <c r="H30" s="1">
        <v>0.5</v>
      </c>
      <c r="I30" s="1">
        <v>1</v>
      </c>
      <c r="J30" s="1">
        <v>2.2000000000000002</v>
      </c>
      <c r="K30" s="1">
        <v>1</v>
      </c>
      <c r="L30" s="1">
        <v>0</v>
      </c>
      <c r="M30" s="1">
        <v>100</v>
      </c>
      <c r="N30" s="1">
        <v>2</v>
      </c>
      <c r="O30" s="1">
        <v>0</v>
      </c>
      <c r="P30" s="1">
        <v>0</v>
      </c>
      <c r="Q30" s="1">
        <v>1</v>
      </c>
      <c r="R30" s="1">
        <v>1</v>
      </c>
      <c r="S30" s="1">
        <v>3</v>
      </c>
      <c r="T30" s="1">
        <v>0</v>
      </c>
      <c r="U30" s="1">
        <v>77</v>
      </c>
      <c r="V30" s="1">
        <v>0</v>
      </c>
      <c r="W30" s="1">
        <v>0</v>
      </c>
      <c r="X30" s="1">
        <v>3.3</v>
      </c>
      <c r="Y30" s="1">
        <v>1</v>
      </c>
      <c r="Z30" s="1">
        <v>0</v>
      </c>
      <c r="AA30" s="1">
        <v>75</v>
      </c>
      <c r="AB30" s="1">
        <v>0</v>
      </c>
      <c r="AC30" s="1">
        <v>0</v>
      </c>
      <c r="AD30" s="3">
        <v>0</v>
      </c>
      <c r="AE30" s="1">
        <v>6.4</v>
      </c>
      <c r="AF30" s="10">
        <v>0</v>
      </c>
      <c r="AG30" s="9">
        <v>81.817932922655714</v>
      </c>
      <c r="AH30" s="10">
        <v>0</v>
      </c>
      <c r="AI30" s="11">
        <v>84.139630390143736</v>
      </c>
      <c r="AJ30" s="33">
        <v>6</v>
      </c>
      <c r="AK30" s="36">
        <f>43.8/1.4^2</f>
        <v>22.346938775510207</v>
      </c>
      <c r="AL30" s="29">
        <v>3</v>
      </c>
      <c r="AM30" s="23">
        <v>42369</v>
      </c>
      <c r="AN30" s="42"/>
      <c r="AO30" s="33" t="s">
        <v>27</v>
      </c>
      <c r="AP30" s="1"/>
      <c r="AQ30" s="1"/>
    </row>
    <row r="31" spans="1:43" ht="16" x14ac:dyDescent="0.15">
      <c r="A31" s="1">
        <v>88</v>
      </c>
      <c r="B31" s="1">
        <v>1</v>
      </c>
      <c r="C31" s="1">
        <v>1</v>
      </c>
      <c r="D31" s="1">
        <v>1</v>
      </c>
      <c r="E31" s="1">
        <v>2</v>
      </c>
      <c r="F31" s="1">
        <v>0</v>
      </c>
      <c r="G31" s="1">
        <v>64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100</v>
      </c>
      <c r="N31" s="1">
        <v>5</v>
      </c>
      <c r="O31" s="1">
        <v>0</v>
      </c>
      <c r="P31" s="1">
        <v>0</v>
      </c>
      <c r="Q31" s="1">
        <v>1</v>
      </c>
      <c r="R31" s="1">
        <v>1</v>
      </c>
      <c r="S31" s="1">
        <v>2</v>
      </c>
      <c r="T31" s="1">
        <v>0</v>
      </c>
      <c r="U31" s="1">
        <v>75</v>
      </c>
      <c r="V31" s="1">
        <v>0</v>
      </c>
      <c r="W31" s="1">
        <v>0</v>
      </c>
      <c r="X31" s="1">
        <v>2.2999999999999998</v>
      </c>
      <c r="Y31" s="1">
        <v>1</v>
      </c>
      <c r="Z31" s="1">
        <v>0</v>
      </c>
      <c r="AA31" s="1">
        <v>100</v>
      </c>
      <c r="AB31" s="1">
        <v>8</v>
      </c>
      <c r="AC31" s="1">
        <v>0</v>
      </c>
      <c r="AD31" s="3">
        <v>0</v>
      </c>
      <c r="AE31" s="1">
        <v>4.5</v>
      </c>
      <c r="AF31" s="10">
        <v>1</v>
      </c>
      <c r="AG31" s="9">
        <v>67.89048596851471</v>
      </c>
      <c r="AH31" s="10">
        <v>0</v>
      </c>
      <c r="AI31" s="11">
        <v>67.121149897330596</v>
      </c>
      <c r="AJ31" s="33">
        <v>3</v>
      </c>
      <c r="AK31" s="36">
        <f>64.1/1.58^2</f>
        <v>25.676974843775028</v>
      </c>
      <c r="AL31" s="29">
        <v>1</v>
      </c>
      <c r="AM31" s="23">
        <v>42369</v>
      </c>
      <c r="AN31" s="42"/>
      <c r="AO31" s="33" t="s">
        <v>12</v>
      </c>
      <c r="AP31" s="1"/>
      <c r="AQ31" s="1"/>
    </row>
    <row r="32" spans="1:43" ht="16" x14ac:dyDescent="0.15">
      <c r="A32" s="1">
        <v>93</v>
      </c>
      <c r="B32" s="1">
        <v>1</v>
      </c>
      <c r="C32" s="1" t="s">
        <v>39</v>
      </c>
      <c r="D32" s="1">
        <v>0</v>
      </c>
      <c r="E32" s="1">
        <v>2</v>
      </c>
      <c r="F32" s="1">
        <v>0</v>
      </c>
      <c r="G32" s="1">
        <v>73</v>
      </c>
      <c r="H32" s="1">
        <v>0</v>
      </c>
      <c r="I32" s="1">
        <v>0</v>
      </c>
      <c r="J32" s="1">
        <v>2.1</v>
      </c>
      <c r="K32" s="1">
        <v>1</v>
      </c>
      <c r="L32" s="1">
        <v>0</v>
      </c>
      <c r="M32" s="1">
        <v>75</v>
      </c>
      <c r="N32" s="1">
        <v>2</v>
      </c>
      <c r="O32" s="1">
        <v>0</v>
      </c>
      <c r="P32" s="1">
        <v>0</v>
      </c>
      <c r="Q32" s="1" t="s">
        <v>39</v>
      </c>
      <c r="R32" s="1">
        <v>1</v>
      </c>
      <c r="S32" s="1">
        <v>2</v>
      </c>
      <c r="T32" s="1">
        <v>0</v>
      </c>
      <c r="U32" s="1">
        <v>80</v>
      </c>
      <c r="V32" s="1">
        <v>0</v>
      </c>
      <c r="W32" s="1">
        <v>0</v>
      </c>
      <c r="X32" s="1">
        <v>3.1</v>
      </c>
      <c r="Y32" s="1">
        <v>1</v>
      </c>
      <c r="Z32" s="1">
        <v>0</v>
      </c>
      <c r="AA32" s="1">
        <v>75</v>
      </c>
      <c r="AB32" s="1">
        <v>5</v>
      </c>
      <c r="AC32" s="1">
        <v>0</v>
      </c>
      <c r="AD32" s="3">
        <v>0</v>
      </c>
      <c r="AE32" s="1">
        <v>5.5</v>
      </c>
      <c r="AF32" s="10">
        <v>0</v>
      </c>
      <c r="AG32" s="9">
        <v>65.442847364818618</v>
      </c>
      <c r="AH32" s="10">
        <v>0</v>
      </c>
      <c r="AI32" s="11">
        <v>75.071868583162214</v>
      </c>
      <c r="AJ32" s="33">
        <v>2</v>
      </c>
      <c r="AK32" s="36">
        <f>51.8/1.5^2</f>
        <v>23.022222222222222</v>
      </c>
      <c r="AL32" s="29">
        <v>2</v>
      </c>
      <c r="AM32" s="23">
        <v>42369</v>
      </c>
      <c r="AN32" s="42"/>
      <c r="AO32" s="33" t="s">
        <v>15</v>
      </c>
      <c r="AP32" s="1"/>
      <c r="AQ32" s="1"/>
    </row>
    <row r="33" spans="1:43" ht="16" x14ac:dyDescent="0.15">
      <c r="A33" s="1">
        <v>94</v>
      </c>
      <c r="B33" s="1">
        <v>1</v>
      </c>
      <c r="C33" s="1" t="s">
        <v>39</v>
      </c>
      <c r="D33" s="1">
        <v>0</v>
      </c>
      <c r="E33" s="1">
        <v>2</v>
      </c>
      <c r="F33" s="1">
        <v>0</v>
      </c>
      <c r="G33" s="1">
        <v>87</v>
      </c>
      <c r="H33" s="1">
        <v>1.2</v>
      </c>
      <c r="I33" s="1">
        <v>1</v>
      </c>
      <c r="J33" s="1">
        <v>2.4</v>
      </c>
      <c r="K33" s="1">
        <v>1</v>
      </c>
      <c r="L33" s="1">
        <v>0</v>
      </c>
      <c r="M33" s="1">
        <v>100</v>
      </c>
      <c r="N33" s="1">
        <v>3</v>
      </c>
      <c r="O33" s="1">
        <v>0</v>
      </c>
      <c r="P33" s="1">
        <v>0</v>
      </c>
      <c r="Q33" s="1" t="s">
        <v>39</v>
      </c>
      <c r="R33" s="1">
        <v>0</v>
      </c>
      <c r="S33" s="1">
        <v>2</v>
      </c>
      <c r="T33" s="1">
        <v>1</v>
      </c>
      <c r="U33" s="1">
        <v>78</v>
      </c>
      <c r="V33" s="1">
        <v>0</v>
      </c>
      <c r="W33" s="1">
        <v>0</v>
      </c>
      <c r="X33" s="1">
        <v>0.4</v>
      </c>
      <c r="Y33" s="1">
        <v>0</v>
      </c>
      <c r="Z33" s="1">
        <v>0</v>
      </c>
      <c r="AA33" s="1">
        <v>25</v>
      </c>
      <c r="AB33" s="1">
        <v>2</v>
      </c>
      <c r="AC33" s="1">
        <v>0</v>
      </c>
      <c r="AD33" s="3">
        <v>0</v>
      </c>
      <c r="AE33" s="1">
        <v>6</v>
      </c>
      <c r="AF33" s="10">
        <v>0</v>
      </c>
      <c r="AG33" s="9">
        <v>67.433264887063658</v>
      </c>
      <c r="AH33" s="10">
        <v>0</v>
      </c>
      <c r="AI33" s="11">
        <v>129.54414784394251</v>
      </c>
      <c r="AJ33" s="33">
        <v>3</v>
      </c>
      <c r="AK33" s="36">
        <f>55/1.42^2</f>
        <v>27.276334060702244</v>
      </c>
      <c r="AL33" s="29">
        <v>3</v>
      </c>
      <c r="AM33" s="23">
        <v>42369</v>
      </c>
      <c r="AN33" s="42"/>
      <c r="AO33" s="33" t="s">
        <v>26</v>
      </c>
      <c r="AP33" s="1"/>
      <c r="AQ33" s="1"/>
    </row>
    <row r="34" spans="1:43" ht="16" x14ac:dyDescent="0.15">
      <c r="A34" s="1">
        <v>96</v>
      </c>
      <c r="B34" s="1">
        <v>1</v>
      </c>
      <c r="C34" s="1">
        <v>1</v>
      </c>
      <c r="D34" s="1">
        <v>1</v>
      </c>
      <c r="E34" s="1">
        <v>3</v>
      </c>
      <c r="F34" s="1">
        <v>0</v>
      </c>
      <c r="G34" s="1">
        <v>53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100</v>
      </c>
      <c r="N34" s="1">
        <v>2</v>
      </c>
      <c r="O34" s="1">
        <v>0</v>
      </c>
      <c r="P34" s="1">
        <v>0</v>
      </c>
      <c r="Q34" s="1" t="s">
        <v>39</v>
      </c>
      <c r="R34" s="1">
        <v>0</v>
      </c>
      <c r="S34" s="1">
        <v>3</v>
      </c>
      <c r="T34" s="1">
        <v>0</v>
      </c>
      <c r="U34" s="1">
        <v>62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100</v>
      </c>
      <c r="AB34" s="1">
        <v>2</v>
      </c>
      <c r="AC34" s="1">
        <v>0</v>
      </c>
      <c r="AD34" s="3">
        <v>0</v>
      </c>
      <c r="AE34" s="1">
        <v>7</v>
      </c>
      <c r="AF34" s="10">
        <v>0</v>
      </c>
      <c r="AG34" s="9">
        <v>65.711156741957566</v>
      </c>
      <c r="AH34" s="10">
        <v>0</v>
      </c>
      <c r="AI34" s="11">
        <v>73.166324435318273</v>
      </c>
      <c r="AJ34" s="33">
        <v>2</v>
      </c>
      <c r="AK34" s="36">
        <f>50.4/1.5^2</f>
        <v>22.4</v>
      </c>
      <c r="AL34" s="29">
        <v>3</v>
      </c>
      <c r="AM34" s="23">
        <v>42369</v>
      </c>
      <c r="AN34" s="42"/>
      <c r="AO34" s="33" t="s">
        <v>28</v>
      </c>
      <c r="AP34" s="1"/>
      <c r="AQ34" s="1"/>
    </row>
    <row r="35" spans="1:43" ht="16" x14ac:dyDescent="0.15">
      <c r="A35" s="1">
        <v>117</v>
      </c>
      <c r="B35" s="1">
        <v>1</v>
      </c>
      <c r="C35" s="1">
        <v>1</v>
      </c>
      <c r="D35" s="1">
        <v>1</v>
      </c>
      <c r="E35" s="1">
        <v>2</v>
      </c>
      <c r="F35" s="1">
        <v>0</v>
      </c>
      <c r="G35" s="1">
        <v>75</v>
      </c>
      <c r="H35" s="1">
        <v>0</v>
      </c>
      <c r="I35" s="1">
        <v>0</v>
      </c>
      <c r="J35" s="1">
        <v>1.9</v>
      </c>
      <c r="K35" s="1">
        <v>0</v>
      </c>
      <c r="L35" s="1">
        <v>0</v>
      </c>
      <c r="M35" s="1">
        <v>100</v>
      </c>
      <c r="N35" s="1">
        <v>1</v>
      </c>
      <c r="O35" s="1">
        <v>0</v>
      </c>
      <c r="P35" s="1">
        <v>0</v>
      </c>
      <c r="Q35" s="1">
        <v>1</v>
      </c>
      <c r="R35" s="1">
        <v>1</v>
      </c>
      <c r="S35" s="1">
        <v>2</v>
      </c>
      <c r="T35" s="1">
        <v>0</v>
      </c>
      <c r="U35" s="1">
        <v>92</v>
      </c>
      <c r="V35" s="1">
        <v>2</v>
      </c>
      <c r="W35" s="1">
        <v>1</v>
      </c>
      <c r="X35" s="1">
        <v>5.0999999999999996</v>
      </c>
      <c r="Y35" s="1">
        <v>1</v>
      </c>
      <c r="Z35" s="1">
        <v>1</v>
      </c>
      <c r="AA35" s="1">
        <v>100</v>
      </c>
      <c r="AB35" s="1">
        <v>4</v>
      </c>
      <c r="AC35" s="1">
        <v>0</v>
      </c>
      <c r="AD35" s="3">
        <v>0</v>
      </c>
      <c r="AE35" s="1">
        <v>5</v>
      </c>
      <c r="AF35" s="10">
        <v>0</v>
      </c>
      <c r="AG35" s="9">
        <v>60.334017796030118</v>
      </c>
      <c r="AH35" s="10">
        <v>0</v>
      </c>
      <c r="AI35" s="11">
        <v>48.985626283367559</v>
      </c>
      <c r="AJ35" s="33">
        <v>3</v>
      </c>
      <c r="AK35" s="36">
        <f>78/1.67^2</f>
        <v>27.968016063681024</v>
      </c>
      <c r="AL35" s="29">
        <v>2</v>
      </c>
      <c r="AM35" s="23">
        <v>42369</v>
      </c>
      <c r="AN35" s="42"/>
      <c r="AO35" s="33" t="s">
        <v>12</v>
      </c>
      <c r="AP35" s="1"/>
      <c r="AQ35" s="1"/>
    </row>
    <row r="36" spans="1:43" ht="32" x14ac:dyDescent="0.15">
      <c r="A36" s="1">
        <v>118</v>
      </c>
      <c r="B36" s="1">
        <v>1</v>
      </c>
      <c r="C36" s="1" t="s">
        <v>39</v>
      </c>
      <c r="D36" s="1">
        <v>1</v>
      </c>
      <c r="E36" s="1">
        <v>3</v>
      </c>
      <c r="F36" s="1">
        <v>0</v>
      </c>
      <c r="G36" s="1">
        <v>78</v>
      </c>
      <c r="H36" s="1">
        <v>0</v>
      </c>
      <c r="I36" s="1">
        <v>0</v>
      </c>
      <c r="J36" s="1">
        <v>3.2</v>
      </c>
      <c r="K36" s="1">
        <v>1</v>
      </c>
      <c r="L36" s="1">
        <v>0</v>
      </c>
      <c r="M36" s="1">
        <v>100</v>
      </c>
      <c r="N36" s="1">
        <v>1</v>
      </c>
      <c r="O36" s="1">
        <v>0</v>
      </c>
      <c r="P36" s="1">
        <v>0</v>
      </c>
      <c r="Q36" s="1" t="s">
        <v>39</v>
      </c>
      <c r="R36" s="1">
        <v>0</v>
      </c>
      <c r="S36" s="1">
        <v>3</v>
      </c>
      <c r="T36" s="1">
        <v>0</v>
      </c>
      <c r="U36" s="1">
        <v>100</v>
      </c>
      <c r="V36" s="1">
        <v>5.5</v>
      </c>
      <c r="W36" s="1">
        <v>1</v>
      </c>
      <c r="X36" s="1">
        <v>7.8</v>
      </c>
      <c r="Y36" s="1">
        <v>1</v>
      </c>
      <c r="Z36" s="1">
        <v>1</v>
      </c>
      <c r="AA36" s="1">
        <v>100</v>
      </c>
      <c r="AB36" s="1">
        <v>0</v>
      </c>
      <c r="AC36" s="1">
        <v>0</v>
      </c>
      <c r="AD36" s="3">
        <v>0</v>
      </c>
      <c r="AE36" s="1">
        <v>10</v>
      </c>
      <c r="AF36" s="10">
        <v>0</v>
      </c>
      <c r="AG36" s="9">
        <v>86.004106776180691</v>
      </c>
      <c r="AH36" s="10">
        <v>0</v>
      </c>
      <c r="AI36" s="11">
        <v>49.051334702258728</v>
      </c>
      <c r="AJ36" s="33">
        <v>4</v>
      </c>
      <c r="AK36" s="36">
        <v>24</v>
      </c>
      <c r="AL36" s="29">
        <v>3</v>
      </c>
      <c r="AM36" s="23">
        <v>42369</v>
      </c>
      <c r="AN36" s="42"/>
      <c r="AO36" s="33" t="s">
        <v>20</v>
      </c>
      <c r="AP36" s="1"/>
      <c r="AQ36" s="1" t="s">
        <v>53</v>
      </c>
    </row>
    <row r="37" spans="1:43" ht="16" x14ac:dyDescent="0.15">
      <c r="A37" s="1">
        <v>120</v>
      </c>
      <c r="B37" s="1">
        <v>1</v>
      </c>
      <c r="C37" s="1">
        <v>1</v>
      </c>
      <c r="D37" s="1">
        <v>1</v>
      </c>
      <c r="E37" s="1">
        <v>2</v>
      </c>
      <c r="F37" s="1">
        <v>0</v>
      </c>
      <c r="G37" s="1">
        <v>98</v>
      </c>
      <c r="H37" s="1">
        <v>1.8</v>
      </c>
      <c r="I37" s="1">
        <v>1</v>
      </c>
      <c r="J37" s="1">
        <v>4</v>
      </c>
      <c r="K37" s="1">
        <v>1</v>
      </c>
      <c r="L37" s="1">
        <v>1</v>
      </c>
      <c r="M37" s="1">
        <v>100</v>
      </c>
      <c r="N37" s="1">
        <v>3</v>
      </c>
      <c r="O37" s="1">
        <v>0</v>
      </c>
      <c r="P37" s="1">
        <v>0</v>
      </c>
      <c r="Q37" s="1">
        <v>1</v>
      </c>
      <c r="R37" s="1">
        <v>1</v>
      </c>
      <c r="S37" s="1">
        <v>3</v>
      </c>
      <c r="T37" s="1">
        <v>0</v>
      </c>
      <c r="U37" s="1">
        <v>79</v>
      </c>
      <c r="V37" s="1">
        <v>0</v>
      </c>
      <c r="W37" s="1">
        <v>0</v>
      </c>
      <c r="X37" s="1">
        <v>3.2</v>
      </c>
      <c r="Y37" s="1">
        <v>1</v>
      </c>
      <c r="Z37" s="1">
        <v>0</v>
      </c>
      <c r="AA37" s="1">
        <v>100</v>
      </c>
      <c r="AB37" s="1">
        <v>6</v>
      </c>
      <c r="AC37" s="1">
        <v>0</v>
      </c>
      <c r="AD37" s="3">
        <v>0</v>
      </c>
      <c r="AE37" s="1">
        <v>8.1</v>
      </c>
      <c r="AF37" s="10">
        <v>0</v>
      </c>
      <c r="AG37" s="9">
        <v>66.967830253251194</v>
      </c>
      <c r="AH37" s="10">
        <v>0</v>
      </c>
      <c r="AI37" s="11">
        <v>43.926078028747433</v>
      </c>
      <c r="AJ37" s="33">
        <v>3</v>
      </c>
      <c r="AK37" s="36">
        <f>63/1.53^2</f>
        <v>26.91272587466359</v>
      </c>
      <c r="AL37" s="29">
        <v>2</v>
      </c>
      <c r="AM37" s="23">
        <v>42369</v>
      </c>
      <c r="AN37" s="42"/>
      <c r="AO37" s="33" t="s">
        <v>29</v>
      </c>
      <c r="AP37" s="1"/>
      <c r="AQ37" s="1"/>
    </row>
    <row r="38" spans="1:43" ht="16" x14ac:dyDescent="0.15">
      <c r="A38" s="3">
        <v>122</v>
      </c>
      <c r="B38" s="1">
        <v>1</v>
      </c>
      <c r="C38" s="3" t="s">
        <v>39</v>
      </c>
      <c r="D38" s="3">
        <v>1</v>
      </c>
      <c r="E38" s="3">
        <v>2</v>
      </c>
      <c r="F38" s="3">
        <v>0</v>
      </c>
      <c r="G38" s="3">
        <v>85</v>
      </c>
      <c r="H38" s="3">
        <v>3.3</v>
      </c>
      <c r="I38" s="3">
        <v>1</v>
      </c>
      <c r="J38" s="3">
        <v>7.6</v>
      </c>
      <c r="K38" s="3">
        <v>1</v>
      </c>
      <c r="L38" s="3">
        <v>1</v>
      </c>
      <c r="M38" s="3">
        <v>155</v>
      </c>
      <c r="N38" s="3">
        <v>1</v>
      </c>
      <c r="O38" s="3">
        <v>0</v>
      </c>
      <c r="P38" s="1">
        <v>0</v>
      </c>
      <c r="Q38" s="3">
        <v>1</v>
      </c>
      <c r="R38" s="3">
        <v>1</v>
      </c>
      <c r="S38" s="3">
        <v>2</v>
      </c>
      <c r="T38" s="3">
        <v>0</v>
      </c>
      <c r="U38" s="3">
        <v>85</v>
      </c>
      <c r="V38" s="3">
        <v>2.9</v>
      </c>
      <c r="W38" s="3">
        <v>1</v>
      </c>
      <c r="X38" s="3">
        <v>7.4</v>
      </c>
      <c r="Y38" s="3">
        <v>1</v>
      </c>
      <c r="Z38" s="3">
        <v>1</v>
      </c>
      <c r="AA38" s="3">
        <v>155</v>
      </c>
      <c r="AB38" s="3">
        <v>0</v>
      </c>
      <c r="AC38" s="3">
        <v>0</v>
      </c>
      <c r="AD38" s="3">
        <v>0</v>
      </c>
      <c r="AE38" s="3">
        <v>7.3</v>
      </c>
      <c r="AF38" s="31">
        <v>1</v>
      </c>
      <c r="AG38" s="9">
        <v>74.910335386721428</v>
      </c>
      <c r="AH38" s="10">
        <v>0</v>
      </c>
      <c r="AI38" s="11">
        <v>43.761806981519506</v>
      </c>
      <c r="AJ38" s="33">
        <v>4</v>
      </c>
      <c r="AK38" s="36">
        <f>81.5/1.68^2</f>
        <v>28.876133786848076</v>
      </c>
      <c r="AL38" s="29">
        <v>3</v>
      </c>
      <c r="AM38" s="23">
        <v>42369</v>
      </c>
      <c r="AN38" s="42"/>
      <c r="AO38" s="33" t="s">
        <v>30</v>
      </c>
      <c r="AP38" s="3"/>
      <c r="AQ38" s="3"/>
    </row>
    <row r="39" spans="1:43" ht="16" x14ac:dyDescent="0.15">
      <c r="A39" s="1">
        <v>123</v>
      </c>
      <c r="B39" s="1">
        <v>1</v>
      </c>
      <c r="C39" s="1">
        <v>1</v>
      </c>
      <c r="D39" s="1">
        <v>1</v>
      </c>
      <c r="E39" s="1">
        <v>2</v>
      </c>
      <c r="F39" s="1">
        <v>0</v>
      </c>
      <c r="G39" s="1">
        <v>97</v>
      </c>
      <c r="H39" s="1">
        <v>4.0999999999999996</v>
      </c>
      <c r="I39" s="1">
        <v>1</v>
      </c>
      <c r="J39" s="1">
        <v>6.2</v>
      </c>
      <c r="K39" s="1">
        <v>1</v>
      </c>
      <c r="L39" s="1">
        <v>1</v>
      </c>
      <c r="M39" s="1">
        <v>155</v>
      </c>
      <c r="N39" s="1">
        <v>0</v>
      </c>
      <c r="O39" s="1">
        <v>0</v>
      </c>
      <c r="P39" s="1">
        <v>0</v>
      </c>
      <c r="Q39" s="1">
        <v>1</v>
      </c>
      <c r="R39" s="1">
        <v>1</v>
      </c>
      <c r="S39" s="1">
        <v>2</v>
      </c>
      <c r="T39" s="1">
        <v>0</v>
      </c>
      <c r="U39" s="1">
        <v>100</v>
      </c>
      <c r="V39" s="1">
        <v>7.7</v>
      </c>
      <c r="W39" s="1">
        <v>1</v>
      </c>
      <c r="X39" s="1">
        <v>9.1999999999999993</v>
      </c>
      <c r="Y39" s="1">
        <v>1</v>
      </c>
      <c r="Z39" s="1">
        <v>1</v>
      </c>
      <c r="AA39" s="1">
        <v>155</v>
      </c>
      <c r="AB39" s="1">
        <v>0</v>
      </c>
      <c r="AC39" s="1">
        <v>0</v>
      </c>
      <c r="AD39" s="3">
        <v>0</v>
      </c>
      <c r="AE39" s="1">
        <v>6.4</v>
      </c>
      <c r="AF39" s="10">
        <v>1</v>
      </c>
      <c r="AG39" s="9">
        <v>66.510609171800141</v>
      </c>
      <c r="AH39" s="10">
        <v>0</v>
      </c>
      <c r="AI39" s="11">
        <v>42.151950718685832</v>
      </c>
      <c r="AJ39" s="33">
        <v>4</v>
      </c>
      <c r="AK39" s="36">
        <f>82/1.66^2</f>
        <v>29.757584555087824</v>
      </c>
      <c r="AL39" s="29">
        <v>2</v>
      </c>
      <c r="AM39" s="23">
        <v>42369</v>
      </c>
      <c r="AN39" s="42"/>
      <c r="AO39" s="33" t="s">
        <v>31</v>
      </c>
      <c r="AP39" s="1"/>
      <c r="AQ39" s="1"/>
    </row>
    <row r="40" spans="1:43" ht="48" x14ac:dyDescent="0.15">
      <c r="A40" s="1">
        <v>126</v>
      </c>
      <c r="B40" s="1">
        <v>1</v>
      </c>
      <c r="C40" s="1" t="s">
        <v>39</v>
      </c>
      <c r="D40" s="1">
        <v>1</v>
      </c>
      <c r="E40" s="1">
        <v>3</v>
      </c>
      <c r="F40" s="1">
        <v>0</v>
      </c>
      <c r="G40" s="1">
        <v>94</v>
      </c>
      <c r="H40" s="1">
        <v>7.8</v>
      </c>
      <c r="I40" s="1">
        <v>1</v>
      </c>
      <c r="J40" s="1">
        <v>10.3</v>
      </c>
      <c r="K40" s="1">
        <v>1</v>
      </c>
      <c r="L40" s="1">
        <v>1</v>
      </c>
      <c r="M40" s="1">
        <v>155</v>
      </c>
      <c r="N40" s="1">
        <v>2</v>
      </c>
      <c r="O40" s="1">
        <v>0</v>
      </c>
      <c r="P40" s="1">
        <v>0</v>
      </c>
      <c r="Q40" s="1" t="s">
        <v>39</v>
      </c>
      <c r="R40" s="1">
        <v>0</v>
      </c>
      <c r="S40" s="1">
        <v>3</v>
      </c>
      <c r="T40" s="1">
        <v>0</v>
      </c>
      <c r="U40" s="1">
        <v>86</v>
      </c>
      <c r="V40" s="1">
        <v>1.4</v>
      </c>
      <c r="W40" s="1">
        <v>1</v>
      </c>
      <c r="X40" s="1">
        <v>5.2</v>
      </c>
      <c r="Y40" s="1">
        <v>1</v>
      </c>
      <c r="Z40" s="1">
        <v>1</v>
      </c>
      <c r="AA40" s="1">
        <v>100</v>
      </c>
      <c r="AB40" s="1">
        <v>4</v>
      </c>
      <c r="AC40" s="1">
        <v>0</v>
      </c>
      <c r="AD40" s="3">
        <v>0</v>
      </c>
      <c r="AE40" s="1">
        <v>6.1</v>
      </c>
      <c r="AF40" s="10">
        <v>0</v>
      </c>
      <c r="AG40" s="9">
        <v>63.767282683093768</v>
      </c>
      <c r="AH40" s="10">
        <v>0</v>
      </c>
      <c r="AI40" s="11">
        <v>41.396303901437371</v>
      </c>
      <c r="AJ40" s="33">
        <v>2</v>
      </c>
      <c r="AK40" s="36">
        <f>45.5/1.46^2</f>
        <v>21.34546819290674</v>
      </c>
      <c r="AL40" s="29">
        <v>2</v>
      </c>
      <c r="AM40" s="23">
        <v>42369</v>
      </c>
      <c r="AN40" s="42"/>
      <c r="AO40" s="33" t="s">
        <v>20</v>
      </c>
      <c r="AP40" s="1"/>
      <c r="AQ40" s="1" t="s">
        <v>54</v>
      </c>
    </row>
    <row r="41" spans="1:43" ht="32" x14ac:dyDescent="0.15">
      <c r="A41" s="1">
        <v>128</v>
      </c>
      <c r="B41" s="1">
        <v>1</v>
      </c>
      <c r="C41" s="1" t="s">
        <v>39</v>
      </c>
      <c r="D41" s="1">
        <v>1</v>
      </c>
      <c r="E41" s="1">
        <v>2</v>
      </c>
      <c r="F41" s="1">
        <v>0</v>
      </c>
      <c r="G41" s="1">
        <v>100</v>
      </c>
      <c r="H41" s="1">
        <v>4.5999999999999996</v>
      </c>
      <c r="I41" s="1">
        <v>1</v>
      </c>
      <c r="J41" s="1">
        <v>6.4</v>
      </c>
      <c r="K41" s="1">
        <v>1</v>
      </c>
      <c r="L41" s="1">
        <v>1</v>
      </c>
      <c r="M41" s="1">
        <v>100</v>
      </c>
      <c r="N41" s="1">
        <v>0</v>
      </c>
      <c r="O41" s="1">
        <v>0</v>
      </c>
      <c r="P41" s="1">
        <v>0</v>
      </c>
      <c r="Q41" s="1" t="s">
        <v>94</v>
      </c>
      <c r="R41" s="1">
        <v>1</v>
      </c>
      <c r="S41" s="1">
        <v>2</v>
      </c>
      <c r="T41" s="1">
        <v>0</v>
      </c>
      <c r="U41" s="1">
        <v>89</v>
      </c>
      <c r="V41" s="1">
        <v>2.9</v>
      </c>
      <c r="W41" s="1">
        <v>1</v>
      </c>
      <c r="X41" s="1">
        <v>6</v>
      </c>
      <c r="Y41" s="1">
        <v>1</v>
      </c>
      <c r="Z41" s="1">
        <v>1</v>
      </c>
      <c r="AA41" s="1">
        <v>100</v>
      </c>
      <c r="AB41" s="1">
        <v>9</v>
      </c>
      <c r="AC41" s="1">
        <v>0</v>
      </c>
      <c r="AD41" s="3">
        <v>0</v>
      </c>
      <c r="AE41" s="1">
        <v>5.3</v>
      </c>
      <c r="AF41" s="10">
        <v>0</v>
      </c>
      <c r="AG41" s="9">
        <v>82.253251197809718</v>
      </c>
      <c r="AH41" s="10">
        <v>0</v>
      </c>
      <c r="AI41" s="11">
        <v>37.092402464065707</v>
      </c>
      <c r="AJ41" s="33">
        <v>5</v>
      </c>
      <c r="AK41" s="36">
        <f>52/1.4^2</f>
        <v>26.530612244897963</v>
      </c>
      <c r="AL41" s="29">
        <v>2</v>
      </c>
      <c r="AM41" s="23">
        <v>42369</v>
      </c>
      <c r="AN41" s="42"/>
      <c r="AO41" s="33" t="s">
        <v>32</v>
      </c>
      <c r="AP41" s="1"/>
      <c r="AQ41" s="1" t="s">
        <v>55</v>
      </c>
    </row>
    <row r="42" spans="1:43" ht="16" x14ac:dyDescent="0.15">
      <c r="A42" s="1">
        <v>133</v>
      </c>
      <c r="B42" s="1">
        <v>1</v>
      </c>
      <c r="C42" s="1" t="s">
        <v>39</v>
      </c>
      <c r="D42" s="1">
        <v>1</v>
      </c>
      <c r="E42" s="1">
        <v>3</v>
      </c>
      <c r="F42" s="1">
        <v>0</v>
      </c>
      <c r="G42" s="1">
        <v>91</v>
      </c>
      <c r="H42" s="1">
        <v>2.9</v>
      </c>
      <c r="I42" s="1">
        <v>1</v>
      </c>
      <c r="J42" s="1">
        <v>6.2</v>
      </c>
      <c r="K42" s="1">
        <v>1</v>
      </c>
      <c r="L42" s="1">
        <v>1</v>
      </c>
      <c r="M42" s="1">
        <v>155</v>
      </c>
      <c r="N42" s="1">
        <v>0</v>
      </c>
      <c r="O42" s="1">
        <v>0</v>
      </c>
      <c r="P42" s="1">
        <v>0</v>
      </c>
      <c r="Q42" s="1" t="s">
        <v>39</v>
      </c>
      <c r="R42" s="1">
        <v>1</v>
      </c>
      <c r="S42" s="1">
        <v>3</v>
      </c>
      <c r="T42" s="1">
        <v>0</v>
      </c>
      <c r="U42" s="1">
        <v>94</v>
      </c>
      <c r="V42" s="1">
        <v>5.0999999999999996</v>
      </c>
      <c r="W42" s="1">
        <v>1</v>
      </c>
      <c r="X42" s="1">
        <v>10.5</v>
      </c>
      <c r="Y42" s="1">
        <v>1</v>
      </c>
      <c r="Z42" s="1">
        <v>1</v>
      </c>
      <c r="AA42" s="1">
        <v>155</v>
      </c>
      <c r="AB42" s="1">
        <v>3</v>
      </c>
      <c r="AC42" s="1">
        <v>0</v>
      </c>
      <c r="AD42" s="3">
        <v>0</v>
      </c>
      <c r="AE42" s="1">
        <v>8.1999999999999993</v>
      </c>
      <c r="AF42" s="10">
        <v>0</v>
      </c>
      <c r="AG42" s="9">
        <v>74.543463381245715</v>
      </c>
      <c r="AH42" s="10">
        <v>0</v>
      </c>
      <c r="AI42" s="11">
        <v>24.016427104722794</v>
      </c>
      <c r="AJ42" s="33">
        <v>3</v>
      </c>
      <c r="AK42" s="36">
        <f>62/1.48^2</f>
        <v>28.305332359386416</v>
      </c>
      <c r="AL42" s="29">
        <v>3</v>
      </c>
      <c r="AM42" s="23">
        <v>42369</v>
      </c>
      <c r="AN42" s="42"/>
      <c r="AO42" s="33" t="s">
        <v>20</v>
      </c>
      <c r="AP42" s="1"/>
      <c r="AQ42" s="1"/>
    </row>
    <row r="43" spans="1:43" ht="16" x14ac:dyDescent="0.15">
      <c r="A43" s="1">
        <v>142</v>
      </c>
      <c r="B43" s="1">
        <v>1</v>
      </c>
      <c r="C43" s="1">
        <v>1</v>
      </c>
      <c r="D43" s="1">
        <v>1</v>
      </c>
      <c r="E43" s="1">
        <v>3</v>
      </c>
      <c r="F43" s="1">
        <v>0</v>
      </c>
      <c r="G43" s="1">
        <v>55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100</v>
      </c>
      <c r="N43" s="1">
        <v>1</v>
      </c>
      <c r="O43" s="1">
        <v>0</v>
      </c>
      <c r="P43" s="1">
        <v>0</v>
      </c>
      <c r="Q43" s="1">
        <v>1</v>
      </c>
      <c r="R43" s="1">
        <v>1</v>
      </c>
      <c r="S43" s="1">
        <v>3</v>
      </c>
      <c r="T43" s="1">
        <v>0</v>
      </c>
      <c r="U43" s="1">
        <v>69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100</v>
      </c>
      <c r="AB43" s="1">
        <v>2</v>
      </c>
      <c r="AC43" s="1">
        <v>0</v>
      </c>
      <c r="AD43" s="3">
        <v>0</v>
      </c>
      <c r="AE43" s="1">
        <v>8.1999999999999993</v>
      </c>
      <c r="AF43" s="10">
        <v>1</v>
      </c>
      <c r="AG43" s="9">
        <v>75.863107460643391</v>
      </c>
      <c r="AH43" s="10">
        <v>0</v>
      </c>
      <c r="AI43" s="11">
        <v>90.020533880903486</v>
      </c>
      <c r="AJ43" s="33">
        <v>5</v>
      </c>
      <c r="AK43" s="36">
        <f>68/1.65^2</f>
        <v>24.977043158861342</v>
      </c>
      <c r="AL43" s="29">
        <v>3</v>
      </c>
      <c r="AM43" s="23">
        <v>42369</v>
      </c>
      <c r="AN43" s="42"/>
      <c r="AO43" s="33" t="s">
        <v>33</v>
      </c>
      <c r="AP43" s="1"/>
      <c r="AQ43" s="1"/>
    </row>
    <row r="44" spans="1:43" ht="16" x14ac:dyDescent="0.15">
      <c r="A44" s="3">
        <v>143</v>
      </c>
      <c r="B44" s="1">
        <v>1</v>
      </c>
      <c r="C44" s="3" t="s">
        <v>39</v>
      </c>
      <c r="D44" s="3">
        <v>1</v>
      </c>
      <c r="E44" s="3">
        <v>2</v>
      </c>
      <c r="F44" s="3">
        <v>0</v>
      </c>
      <c r="G44" s="3">
        <v>95</v>
      </c>
      <c r="H44" s="3">
        <v>2.4</v>
      </c>
      <c r="I44" s="3">
        <v>1</v>
      </c>
      <c r="J44" s="3">
        <v>4.2</v>
      </c>
      <c r="K44" s="3">
        <v>1</v>
      </c>
      <c r="L44" s="3">
        <v>1</v>
      </c>
      <c r="M44" s="3">
        <v>100</v>
      </c>
      <c r="N44" s="3">
        <v>0</v>
      </c>
      <c r="O44" s="3">
        <v>0</v>
      </c>
      <c r="P44" s="1">
        <v>0</v>
      </c>
      <c r="Q44" s="3" t="s">
        <v>39</v>
      </c>
      <c r="R44" s="3">
        <v>1</v>
      </c>
      <c r="S44" s="3">
        <v>3</v>
      </c>
      <c r="T44" s="3">
        <v>0</v>
      </c>
      <c r="U44" s="3">
        <v>98</v>
      </c>
      <c r="V44" s="3">
        <v>2.7</v>
      </c>
      <c r="W44" s="3">
        <v>1</v>
      </c>
      <c r="X44" s="3">
        <v>5.6</v>
      </c>
      <c r="Y44" s="3">
        <v>1</v>
      </c>
      <c r="Z44" s="3">
        <v>1</v>
      </c>
      <c r="AA44" s="3">
        <v>75</v>
      </c>
      <c r="AB44" s="3">
        <v>2</v>
      </c>
      <c r="AC44" s="3">
        <v>0</v>
      </c>
      <c r="AD44" s="3">
        <v>0</v>
      </c>
      <c r="AE44" s="3">
        <v>7.7</v>
      </c>
      <c r="AF44" s="31">
        <v>0</v>
      </c>
      <c r="AG44" s="9">
        <v>75.249828884325808</v>
      </c>
      <c r="AH44" s="10">
        <v>0</v>
      </c>
      <c r="AI44" s="11">
        <v>93.338809034907598</v>
      </c>
      <c r="AJ44" s="33">
        <v>3</v>
      </c>
      <c r="AK44" s="36">
        <f>68/2.25</f>
        <v>30.222222222222221</v>
      </c>
      <c r="AL44" s="29">
        <v>2</v>
      </c>
      <c r="AM44" s="23">
        <v>42369</v>
      </c>
      <c r="AN44" s="42"/>
      <c r="AO44" s="33" t="s">
        <v>34</v>
      </c>
      <c r="AP44" s="3"/>
      <c r="AQ44" s="3"/>
    </row>
    <row r="45" spans="1:43" ht="16" x14ac:dyDescent="0.15">
      <c r="A45" s="3">
        <v>149</v>
      </c>
      <c r="B45" s="1">
        <v>1</v>
      </c>
      <c r="C45" s="3" t="s">
        <v>39</v>
      </c>
      <c r="D45" s="3">
        <v>1</v>
      </c>
      <c r="E45" s="3">
        <v>2</v>
      </c>
      <c r="F45" s="3">
        <v>0</v>
      </c>
      <c r="G45" s="3">
        <v>97</v>
      </c>
      <c r="H45" s="3">
        <v>1.5</v>
      </c>
      <c r="I45" s="3">
        <v>1</v>
      </c>
      <c r="J45" s="3">
        <v>4.2</v>
      </c>
      <c r="K45" s="3">
        <v>1</v>
      </c>
      <c r="L45" s="3">
        <v>1</v>
      </c>
      <c r="M45" s="3">
        <v>100</v>
      </c>
      <c r="N45" s="3">
        <v>3</v>
      </c>
      <c r="O45" s="3">
        <v>0</v>
      </c>
      <c r="P45" s="1">
        <v>0</v>
      </c>
      <c r="Q45" s="3">
        <v>1</v>
      </c>
      <c r="R45" s="3">
        <v>1</v>
      </c>
      <c r="S45" s="3">
        <v>3</v>
      </c>
      <c r="T45" s="3">
        <v>0</v>
      </c>
      <c r="U45" s="3">
        <v>84</v>
      </c>
      <c r="V45" s="3">
        <v>0</v>
      </c>
      <c r="W45" s="3">
        <v>0</v>
      </c>
      <c r="X45" s="3">
        <v>4</v>
      </c>
      <c r="Y45" s="3">
        <v>1</v>
      </c>
      <c r="Z45" s="3">
        <v>1</v>
      </c>
      <c r="AA45" s="3">
        <v>100</v>
      </c>
      <c r="AB45" s="3">
        <v>3</v>
      </c>
      <c r="AC45" s="3">
        <v>0</v>
      </c>
      <c r="AD45" s="3">
        <v>0</v>
      </c>
      <c r="AE45" s="3">
        <v>5.0999999999999996</v>
      </c>
      <c r="AF45" s="31">
        <v>0</v>
      </c>
      <c r="AG45" s="9">
        <v>74.458590006844631</v>
      </c>
      <c r="AH45" s="10">
        <v>0</v>
      </c>
      <c r="AI45" s="11">
        <v>82.365503080082135</v>
      </c>
      <c r="AJ45" s="33">
        <v>3</v>
      </c>
      <c r="AK45" s="36">
        <f>65/1.45^2</f>
        <v>30.915576694411413</v>
      </c>
      <c r="AL45" s="29">
        <v>3</v>
      </c>
      <c r="AM45" s="23">
        <v>42369</v>
      </c>
      <c r="AN45" s="42"/>
      <c r="AO45" s="33" t="s">
        <v>20</v>
      </c>
      <c r="AP45" s="3"/>
      <c r="AQ45" s="3"/>
    </row>
    <row r="46" spans="1:43" ht="16" x14ac:dyDescent="0.15">
      <c r="A46" s="3">
        <v>150</v>
      </c>
      <c r="B46" s="1">
        <v>1</v>
      </c>
      <c r="C46" s="3" t="s">
        <v>39</v>
      </c>
      <c r="D46" s="3">
        <v>1</v>
      </c>
      <c r="E46" s="3">
        <v>2</v>
      </c>
      <c r="F46" s="3">
        <v>0</v>
      </c>
      <c r="G46" s="3">
        <v>89</v>
      </c>
      <c r="H46" s="3">
        <v>2.2000000000000002</v>
      </c>
      <c r="I46" s="3">
        <v>1</v>
      </c>
      <c r="J46" s="3">
        <v>6.5</v>
      </c>
      <c r="K46" s="3">
        <v>1</v>
      </c>
      <c r="L46" s="3">
        <v>1</v>
      </c>
      <c r="M46" s="3">
        <v>155</v>
      </c>
      <c r="N46" s="3">
        <v>0</v>
      </c>
      <c r="O46" s="3">
        <v>0</v>
      </c>
      <c r="P46" s="1">
        <v>0</v>
      </c>
      <c r="Q46" s="3" t="s">
        <v>39</v>
      </c>
      <c r="R46" s="3">
        <v>1</v>
      </c>
      <c r="S46" s="3">
        <v>3</v>
      </c>
      <c r="T46" s="3">
        <v>0</v>
      </c>
      <c r="U46" s="3">
        <v>98</v>
      </c>
      <c r="V46" s="3">
        <v>3.6</v>
      </c>
      <c r="W46" s="3">
        <v>1</v>
      </c>
      <c r="X46" s="3">
        <v>6.8</v>
      </c>
      <c r="Y46" s="3">
        <v>1</v>
      </c>
      <c r="Z46" s="3">
        <v>1</v>
      </c>
      <c r="AA46" s="3">
        <v>100</v>
      </c>
      <c r="AB46" s="3">
        <v>1</v>
      </c>
      <c r="AC46" s="3">
        <v>0</v>
      </c>
      <c r="AD46" s="3">
        <v>0</v>
      </c>
      <c r="AE46" s="3">
        <v>5.4</v>
      </c>
      <c r="AF46" s="31">
        <v>0</v>
      </c>
      <c r="AG46" s="9">
        <v>75.077344284736483</v>
      </c>
      <c r="AH46" s="10">
        <v>0</v>
      </c>
      <c r="AI46" s="11">
        <v>79.835728952772072</v>
      </c>
      <c r="AJ46" s="33">
        <v>4</v>
      </c>
      <c r="AK46" s="36">
        <f>74/1.45^2</f>
        <v>35.196195005945306</v>
      </c>
      <c r="AL46" s="29">
        <v>2</v>
      </c>
      <c r="AM46" s="23">
        <v>42369</v>
      </c>
      <c r="AN46" s="42"/>
      <c r="AO46" s="33" t="s">
        <v>26</v>
      </c>
      <c r="AP46" s="3"/>
      <c r="AQ46" s="3"/>
    </row>
    <row r="47" spans="1:43" ht="16" x14ac:dyDescent="0.15">
      <c r="A47" s="3">
        <v>151</v>
      </c>
      <c r="B47" s="1">
        <v>1</v>
      </c>
      <c r="C47" s="3" t="s">
        <v>39</v>
      </c>
      <c r="D47" s="3">
        <v>1</v>
      </c>
      <c r="E47" s="3">
        <v>2</v>
      </c>
      <c r="F47" s="3">
        <v>0</v>
      </c>
      <c r="G47" s="3">
        <v>95</v>
      </c>
      <c r="H47" s="3">
        <v>2.7</v>
      </c>
      <c r="I47" s="3">
        <v>1</v>
      </c>
      <c r="J47" s="3">
        <v>4.2</v>
      </c>
      <c r="K47" s="3">
        <v>1</v>
      </c>
      <c r="L47" s="3">
        <v>1</v>
      </c>
      <c r="M47" s="3">
        <v>75</v>
      </c>
      <c r="N47" s="3">
        <v>5</v>
      </c>
      <c r="O47" s="3">
        <v>0</v>
      </c>
      <c r="P47" s="1">
        <v>0</v>
      </c>
      <c r="Q47" s="3">
        <v>1</v>
      </c>
      <c r="R47" s="3">
        <v>1</v>
      </c>
      <c r="S47" s="3">
        <v>2</v>
      </c>
      <c r="T47" s="3">
        <v>0</v>
      </c>
      <c r="U47" s="3">
        <v>94</v>
      </c>
      <c r="V47" s="3">
        <v>3.2</v>
      </c>
      <c r="W47" s="3">
        <v>1</v>
      </c>
      <c r="X47" s="3">
        <v>5.6</v>
      </c>
      <c r="Y47" s="3">
        <v>1</v>
      </c>
      <c r="Z47" s="3">
        <v>1</v>
      </c>
      <c r="AA47" s="3">
        <v>100</v>
      </c>
      <c r="AB47" s="3">
        <v>1</v>
      </c>
      <c r="AC47" s="3">
        <v>0</v>
      </c>
      <c r="AD47" s="3">
        <v>0</v>
      </c>
      <c r="AE47" s="3">
        <v>8.3000000000000007</v>
      </c>
      <c r="AF47" s="31">
        <v>0</v>
      </c>
      <c r="AG47" s="9">
        <v>65.960301163586578</v>
      </c>
      <c r="AH47" s="10">
        <v>0</v>
      </c>
      <c r="AI47" s="11">
        <v>75.236139630390142</v>
      </c>
      <c r="AJ47" s="33">
        <v>2</v>
      </c>
      <c r="AK47" s="36">
        <f>58/1.47^2</f>
        <v>26.840668240085151</v>
      </c>
      <c r="AL47" s="29">
        <v>2</v>
      </c>
      <c r="AM47" s="23">
        <v>42369</v>
      </c>
      <c r="AN47" s="42"/>
      <c r="AO47" s="33" t="s">
        <v>36</v>
      </c>
      <c r="AP47" s="3"/>
      <c r="AQ47" s="3" t="s">
        <v>56</v>
      </c>
    </row>
    <row r="48" spans="1:43" s="22" customFormat="1" ht="16" x14ac:dyDescent="0.15">
      <c r="A48" s="22">
        <v>156</v>
      </c>
      <c r="B48" s="22">
        <v>3</v>
      </c>
      <c r="C48" s="22" t="s">
        <v>93</v>
      </c>
      <c r="D48" s="22">
        <v>1</v>
      </c>
      <c r="E48" s="22">
        <v>3</v>
      </c>
      <c r="F48" s="22">
        <v>0</v>
      </c>
      <c r="G48" s="22">
        <v>77</v>
      </c>
      <c r="H48" s="22">
        <v>0</v>
      </c>
      <c r="I48" s="22">
        <v>0</v>
      </c>
      <c r="J48" s="22">
        <v>6</v>
      </c>
      <c r="K48" s="22">
        <v>1</v>
      </c>
      <c r="L48" s="22">
        <v>1</v>
      </c>
      <c r="M48" s="22">
        <v>200</v>
      </c>
      <c r="N48" s="22">
        <v>3</v>
      </c>
      <c r="O48" s="22">
        <v>0</v>
      </c>
      <c r="P48" s="1">
        <v>0</v>
      </c>
      <c r="Q48" s="22" t="s">
        <v>39</v>
      </c>
      <c r="R48" s="22">
        <v>0</v>
      </c>
      <c r="S48" s="22">
        <v>3</v>
      </c>
      <c r="T48" s="22">
        <v>0</v>
      </c>
      <c r="U48" s="22">
        <v>98</v>
      </c>
      <c r="V48" s="22">
        <v>7.5</v>
      </c>
      <c r="W48" s="22">
        <v>1</v>
      </c>
      <c r="X48" s="22">
        <v>10</v>
      </c>
      <c r="Y48" s="22">
        <v>1</v>
      </c>
      <c r="Z48" s="22">
        <v>1</v>
      </c>
      <c r="AA48" s="22">
        <v>200</v>
      </c>
      <c r="AB48" s="22">
        <v>3</v>
      </c>
      <c r="AC48" s="22">
        <v>0</v>
      </c>
      <c r="AD48" s="22">
        <v>0</v>
      </c>
      <c r="AE48" s="22">
        <v>6</v>
      </c>
      <c r="AF48" s="29">
        <v>1</v>
      </c>
      <c r="AG48" s="9">
        <v>72.005475701574269</v>
      </c>
      <c r="AH48" s="29">
        <v>0</v>
      </c>
      <c r="AI48" s="11">
        <v>32.525667351129364</v>
      </c>
      <c r="AJ48" s="33">
        <v>4</v>
      </c>
      <c r="AK48" s="29">
        <v>23.3</v>
      </c>
      <c r="AL48" s="29">
        <v>3</v>
      </c>
      <c r="AM48" s="23">
        <v>42369</v>
      </c>
      <c r="AN48" s="42"/>
      <c r="AO48" s="33" t="s">
        <v>88</v>
      </c>
    </row>
    <row r="49" spans="1:45" s="22" customFormat="1" ht="16" x14ac:dyDescent="0.15">
      <c r="A49" s="22">
        <v>157</v>
      </c>
      <c r="B49" s="22">
        <v>1</v>
      </c>
      <c r="C49" s="22">
        <v>1</v>
      </c>
      <c r="D49" s="22">
        <v>1</v>
      </c>
      <c r="E49" s="22">
        <v>2</v>
      </c>
      <c r="F49" s="22">
        <v>0</v>
      </c>
      <c r="G49" s="22">
        <v>50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30</v>
      </c>
      <c r="N49" s="22">
        <v>0</v>
      </c>
      <c r="O49" s="22">
        <v>0</v>
      </c>
      <c r="P49" s="22">
        <v>0</v>
      </c>
      <c r="Q49" s="22" t="s">
        <v>43</v>
      </c>
      <c r="R49" s="22">
        <v>0</v>
      </c>
      <c r="S49" s="22">
        <v>2</v>
      </c>
      <c r="T49" s="22">
        <v>0</v>
      </c>
      <c r="U49" s="22">
        <v>95</v>
      </c>
      <c r="V49" s="22">
        <v>4</v>
      </c>
      <c r="W49" s="22">
        <v>1</v>
      </c>
      <c r="X49" s="22">
        <v>6</v>
      </c>
      <c r="Y49" s="22">
        <v>1</v>
      </c>
      <c r="Z49" s="22">
        <v>1</v>
      </c>
      <c r="AA49" s="22">
        <v>100</v>
      </c>
      <c r="AB49" s="22">
        <v>2</v>
      </c>
      <c r="AC49" s="22">
        <v>0</v>
      </c>
      <c r="AD49" s="22">
        <v>0</v>
      </c>
      <c r="AE49" s="22">
        <v>2.5</v>
      </c>
      <c r="AF49" s="29">
        <v>1</v>
      </c>
      <c r="AG49" s="9">
        <v>68.167008898015055</v>
      </c>
      <c r="AH49" s="29">
        <v>0</v>
      </c>
      <c r="AI49" s="11">
        <v>25.593429158110883</v>
      </c>
      <c r="AJ49" s="33">
        <v>2</v>
      </c>
      <c r="AK49" s="29">
        <v>34.6</v>
      </c>
      <c r="AL49" s="29">
        <v>3</v>
      </c>
      <c r="AM49" s="23">
        <v>42369</v>
      </c>
      <c r="AN49" s="42"/>
      <c r="AO49" s="33" t="s">
        <v>89</v>
      </c>
    </row>
    <row r="50" spans="1:45" x14ac:dyDescent="0.15">
      <c r="G50">
        <f>MAX(G2:G49)</f>
        <v>100</v>
      </c>
      <c r="H50">
        <f>MAX(H2:H49)</f>
        <v>7.8</v>
      </c>
      <c r="J50">
        <f>MAX(J2:J49)</f>
        <v>10.3</v>
      </c>
      <c r="M50">
        <f>MAX(M2:M49)</f>
        <v>200</v>
      </c>
      <c r="U50">
        <f>MAX(U2:U49)</f>
        <v>100</v>
      </c>
      <c r="V50">
        <f>MAX(V2:V49)</f>
        <v>12.8</v>
      </c>
      <c r="X50">
        <f>MAX(X2:X49)</f>
        <v>14.7</v>
      </c>
      <c r="AA50">
        <f>MAX(AA2:AA49)</f>
        <v>200</v>
      </c>
      <c r="AB50" s="29"/>
      <c r="AD50" s="29"/>
      <c r="AE50">
        <f>MAX(AE2:AE49)</f>
        <v>10</v>
      </c>
      <c r="AF50" s="33"/>
      <c r="AG50" s="40">
        <f>MAX(AG2:AG49)</f>
        <v>86.004106776180691</v>
      </c>
      <c r="AI50" s="27">
        <f>MAX(AI2:AI49)</f>
        <v>131.58110882956879</v>
      </c>
      <c r="AK50" s="11">
        <f>MAX(AK2:AK49)</f>
        <v>37.755102040816332</v>
      </c>
      <c r="AL50"/>
      <c r="AM50"/>
      <c r="AN50" s="41"/>
      <c r="AO50"/>
    </row>
    <row r="51" spans="1:45" x14ac:dyDescent="0.15">
      <c r="G51">
        <f>MIN(G2:G50)</f>
        <v>47</v>
      </c>
      <c r="H51">
        <f>MIN(H2:H50)</f>
        <v>0</v>
      </c>
      <c r="J51">
        <f>MIN(J2:J50)</f>
        <v>0</v>
      </c>
      <c r="M51">
        <f>MIN(M2:M50)</f>
        <v>25</v>
      </c>
      <c r="U51">
        <f>MIN(U2:U50)</f>
        <v>53</v>
      </c>
      <c r="V51">
        <f>MIN(V2:V50)</f>
        <v>0</v>
      </c>
      <c r="X51">
        <f>MIN(X2:X50)</f>
        <v>0</v>
      </c>
      <c r="AA51">
        <f>MIN(AA2:AA50)</f>
        <v>25</v>
      </c>
      <c r="AB51" s="29"/>
      <c r="AD51" s="29"/>
      <c r="AE51">
        <f>MIN(AE2:AE50)</f>
        <v>0.2</v>
      </c>
      <c r="AF51" s="33"/>
      <c r="AG51" s="40">
        <f>MIN(AG2:AG49)</f>
        <v>56.002737850787135</v>
      </c>
      <c r="AI51" s="27">
        <f>MIN(AI2:AI50)</f>
        <v>24.016427104722794</v>
      </c>
      <c r="AK51" s="11">
        <f>MIN(AK2:AK49)</f>
        <v>21.34546819290674</v>
      </c>
      <c r="AL51"/>
      <c r="AM51"/>
      <c r="AN51" s="41"/>
      <c r="AO51"/>
    </row>
    <row r="52" spans="1:45" ht="16" x14ac:dyDescent="0.1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30"/>
      <c r="AC52" s="9"/>
      <c r="AD52" s="30"/>
      <c r="AF52" s="33"/>
      <c r="AG52" s="29"/>
      <c r="AI52" s="25"/>
      <c r="AK52" s="8"/>
      <c r="AL52" s="8"/>
      <c r="AM52" s="8"/>
      <c r="AN52" s="43"/>
      <c r="AO52" s="8"/>
      <c r="AP52" s="8"/>
      <c r="AQ52" s="8"/>
    </row>
    <row r="53" spans="1:45" ht="16" x14ac:dyDescent="0.15">
      <c r="A53" s="1">
        <v>9</v>
      </c>
      <c r="B53" s="1">
        <v>1</v>
      </c>
      <c r="C53" s="1" t="s">
        <v>43</v>
      </c>
      <c r="D53" s="1">
        <v>1</v>
      </c>
      <c r="E53" s="1">
        <v>2</v>
      </c>
      <c r="F53" s="1">
        <v>0</v>
      </c>
      <c r="G53" s="1">
        <v>75</v>
      </c>
      <c r="H53" s="1">
        <v>0</v>
      </c>
      <c r="I53" s="1">
        <v>0</v>
      </c>
      <c r="J53" s="1">
        <v>2</v>
      </c>
      <c r="K53" s="1">
        <v>1</v>
      </c>
      <c r="L53" s="1">
        <v>0</v>
      </c>
      <c r="M53" s="1">
        <v>100</v>
      </c>
      <c r="N53" s="1">
        <v>9</v>
      </c>
      <c r="O53" s="12">
        <v>1</v>
      </c>
      <c r="P53" s="1">
        <v>0</v>
      </c>
      <c r="Q53" s="1" t="s">
        <v>43</v>
      </c>
      <c r="R53" s="1">
        <v>1</v>
      </c>
      <c r="S53" s="1">
        <v>2</v>
      </c>
      <c r="T53" s="1">
        <v>0</v>
      </c>
      <c r="U53" s="1">
        <v>72</v>
      </c>
      <c r="V53" s="1">
        <v>0</v>
      </c>
      <c r="W53" s="1">
        <v>0</v>
      </c>
      <c r="X53" s="1">
        <v>3.5</v>
      </c>
      <c r="Y53" s="1">
        <v>1</v>
      </c>
      <c r="Z53" s="1">
        <v>0</v>
      </c>
      <c r="AA53" s="1">
        <v>100</v>
      </c>
      <c r="AB53" s="1">
        <v>4</v>
      </c>
      <c r="AC53" s="1">
        <v>0</v>
      </c>
      <c r="AD53" s="3">
        <v>0</v>
      </c>
      <c r="AE53" s="1">
        <v>5</v>
      </c>
      <c r="AF53" s="10">
        <v>0</v>
      </c>
      <c r="AG53" s="9">
        <v>71.288158795345652</v>
      </c>
      <c r="AH53" s="10">
        <v>0</v>
      </c>
      <c r="AI53" s="11">
        <v>86.899383983572889</v>
      </c>
      <c r="AJ53" s="33">
        <v>3</v>
      </c>
      <c r="AK53" s="36">
        <f>59.6/1.44^2</f>
        <v>28.742283950617285</v>
      </c>
      <c r="AL53" s="29">
        <v>3</v>
      </c>
      <c r="AM53" s="23">
        <v>42369</v>
      </c>
      <c r="AN53" s="42"/>
      <c r="AO53" s="33" t="s">
        <v>6</v>
      </c>
      <c r="AP53" s="1"/>
      <c r="AQ53" s="1"/>
    </row>
    <row r="54" spans="1:45" s="16" customFormat="1" ht="16" x14ac:dyDescent="0.15">
      <c r="A54" s="12">
        <v>24</v>
      </c>
      <c r="B54" s="12">
        <v>1</v>
      </c>
      <c r="C54" s="12" t="s">
        <v>39</v>
      </c>
      <c r="D54" s="12">
        <v>1</v>
      </c>
      <c r="E54" s="12">
        <v>2</v>
      </c>
      <c r="F54" s="12">
        <v>0</v>
      </c>
      <c r="G54" s="12">
        <v>94</v>
      </c>
      <c r="H54" s="12">
        <v>2.1</v>
      </c>
      <c r="I54" s="12">
        <v>1</v>
      </c>
      <c r="J54" s="12">
        <v>4</v>
      </c>
      <c r="K54" s="12">
        <v>1</v>
      </c>
      <c r="L54" s="12">
        <v>1</v>
      </c>
      <c r="M54" s="12">
        <v>100</v>
      </c>
      <c r="N54" s="12">
        <v>12</v>
      </c>
      <c r="O54" s="12">
        <v>1</v>
      </c>
      <c r="P54" s="12">
        <v>0</v>
      </c>
      <c r="Q54" s="12" t="s">
        <v>39</v>
      </c>
      <c r="R54" s="12">
        <v>1</v>
      </c>
      <c r="S54" s="12">
        <v>2</v>
      </c>
      <c r="T54" s="12">
        <v>0</v>
      </c>
      <c r="U54" s="12">
        <v>88</v>
      </c>
      <c r="V54" s="12">
        <v>1.7</v>
      </c>
      <c r="W54" s="12">
        <v>1</v>
      </c>
      <c r="X54" s="12">
        <v>3.7</v>
      </c>
      <c r="Y54" s="12">
        <v>1</v>
      </c>
      <c r="Z54" s="12">
        <v>0</v>
      </c>
      <c r="AA54" s="12">
        <v>100</v>
      </c>
      <c r="AB54" s="12">
        <v>14</v>
      </c>
      <c r="AC54" s="12">
        <v>1</v>
      </c>
      <c r="AD54" s="12">
        <v>0</v>
      </c>
      <c r="AE54" s="12">
        <v>6.6</v>
      </c>
      <c r="AF54" s="28">
        <v>0</v>
      </c>
      <c r="AG54" s="14">
        <v>63.655030800821358</v>
      </c>
      <c r="AH54" s="28">
        <v>0</v>
      </c>
      <c r="AI54" s="15">
        <v>73.330595482546201</v>
      </c>
      <c r="AJ54" s="34">
        <v>3</v>
      </c>
      <c r="AK54" s="37">
        <f>60/1.47^2</f>
        <v>27.76620852422602</v>
      </c>
      <c r="AL54" s="38">
        <v>3</v>
      </c>
      <c r="AM54" s="24">
        <v>42369</v>
      </c>
      <c r="AN54" s="49"/>
      <c r="AO54" s="34" t="s">
        <v>15</v>
      </c>
      <c r="AP54" s="12"/>
      <c r="AQ54" s="12"/>
    </row>
    <row r="55" spans="1:45" s="16" customFormat="1" ht="16" x14ac:dyDescent="0.15">
      <c r="A55" s="12">
        <v>30</v>
      </c>
      <c r="B55" s="12">
        <v>1</v>
      </c>
      <c r="C55" s="12" t="s">
        <v>39</v>
      </c>
      <c r="D55" s="12">
        <v>0</v>
      </c>
      <c r="E55" s="12">
        <v>3</v>
      </c>
      <c r="F55" s="12">
        <v>0</v>
      </c>
      <c r="G55" s="12">
        <v>60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100</v>
      </c>
      <c r="N55" s="12">
        <v>10</v>
      </c>
      <c r="O55" s="12">
        <v>1</v>
      </c>
      <c r="P55" s="12">
        <v>0</v>
      </c>
      <c r="Q55" s="12" t="s">
        <v>39</v>
      </c>
      <c r="R55" s="12">
        <v>0</v>
      </c>
      <c r="S55" s="12">
        <v>3</v>
      </c>
      <c r="T55" s="12">
        <v>0</v>
      </c>
      <c r="U55" s="12">
        <v>75</v>
      </c>
      <c r="V55" s="12">
        <v>0</v>
      </c>
      <c r="W55" s="12">
        <v>0</v>
      </c>
      <c r="X55" s="12">
        <v>2.5</v>
      </c>
      <c r="Y55" s="12">
        <v>1</v>
      </c>
      <c r="Z55" s="12">
        <v>0</v>
      </c>
      <c r="AA55" s="12">
        <v>75</v>
      </c>
      <c r="AB55" s="12">
        <v>12</v>
      </c>
      <c r="AC55" s="12">
        <v>1</v>
      </c>
      <c r="AD55" s="12">
        <v>0</v>
      </c>
      <c r="AE55" s="12">
        <v>4.5999999999999996</v>
      </c>
      <c r="AF55" s="28">
        <v>1</v>
      </c>
      <c r="AG55" s="14">
        <v>79.55099247091033</v>
      </c>
      <c r="AH55" s="28">
        <v>0</v>
      </c>
      <c r="AI55" s="15">
        <v>66.69404517453799</v>
      </c>
      <c r="AJ55" s="34">
        <v>4</v>
      </c>
      <c r="AK55" s="37">
        <f>70.7/1.61^2</f>
        <v>27.275182284634077</v>
      </c>
      <c r="AL55" s="38">
        <v>2</v>
      </c>
      <c r="AM55" s="24">
        <v>42369</v>
      </c>
      <c r="AN55" s="49"/>
      <c r="AO55" s="34" t="s">
        <v>17</v>
      </c>
      <c r="AP55" s="12" t="s">
        <v>47</v>
      </c>
      <c r="AQ55" s="13"/>
    </row>
    <row r="56" spans="1:45" s="16" customFormat="1" ht="32" x14ac:dyDescent="0.15">
      <c r="A56" s="12">
        <v>35</v>
      </c>
      <c r="B56" s="12">
        <v>3</v>
      </c>
      <c r="C56" s="12" t="s">
        <v>39</v>
      </c>
      <c r="D56" s="12">
        <v>0</v>
      </c>
      <c r="E56" s="12">
        <v>2</v>
      </c>
      <c r="F56" s="12">
        <v>0</v>
      </c>
      <c r="G56" s="12">
        <v>57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100</v>
      </c>
      <c r="N56" s="12">
        <v>16</v>
      </c>
      <c r="O56" s="12">
        <v>1</v>
      </c>
      <c r="P56" s="12">
        <v>0</v>
      </c>
      <c r="Q56" s="12" t="s">
        <v>39</v>
      </c>
      <c r="R56" s="12">
        <v>0</v>
      </c>
      <c r="S56" s="12">
        <v>2</v>
      </c>
      <c r="T56" s="12">
        <v>0</v>
      </c>
      <c r="U56" s="12">
        <v>81</v>
      </c>
      <c r="V56" s="12">
        <v>0</v>
      </c>
      <c r="W56" s="12">
        <v>0</v>
      </c>
      <c r="X56" s="12">
        <v>1.7</v>
      </c>
      <c r="Y56" s="12">
        <v>0</v>
      </c>
      <c r="Z56" s="12">
        <v>0</v>
      </c>
      <c r="AA56" s="12">
        <v>75</v>
      </c>
      <c r="AB56" s="12">
        <v>14</v>
      </c>
      <c r="AC56" s="12">
        <v>1</v>
      </c>
      <c r="AD56" s="12">
        <v>0</v>
      </c>
      <c r="AE56" s="12">
        <v>1.3</v>
      </c>
      <c r="AF56" s="28">
        <v>1</v>
      </c>
      <c r="AG56" s="14">
        <v>76.832306639288163</v>
      </c>
      <c r="AH56" s="28">
        <v>0</v>
      </c>
      <c r="AI56" s="15">
        <v>131.94250513347023</v>
      </c>
      <c r="AJ56" s="34">
        <v>4</v>
      </c>
      <c r="AK56" s="37">
        <f>76.6/1.65^2</f>
        <v>28.135904499540864</v>
      </c>
      <c r="AL56" s="38">
        <v>3</v>
      </c>
      <c r="AM56" s="24">
        <v>42369</v>
      </c>
      <c r="AN56" s="49"/>
      <c r="AO56" s="34" t="s">
        <v>10</v>
      </c>
      <c r="AP56" s="12" t="s">
        <v>48</v>
      </c>
      <c r="AQ56" s="12"/>
    </row>
    <row r="57" spans="1:45" ht="16" x14ac:dyDescent="0.15">
      <c r="A57" s="1">
        <v>41</v>
      </c>
      <c r="B57" s="1">
        <v>1</v>
      </c>
      <c r="C57" s="1">
        <v>1</v>
      </c>
      <c r="D57" s="1">
        <v>1</v>
      </c>
      <c r="E57" s="1">
        <v>2</v>
      </c>
      <c r="F57" s="1">
        <v>0</v>
      </c>
      <c r="G57" s="1">
        <v>67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100</v>
      </c>
      <c r="N57" s="1">
        <v>9</v>
      </c>
      <c r="O57" s="12">
        <v>1</v>
      </c>
      <c r="P57" s="1">
        <v>0</v>
      </c>
      <c r="Q57" s="1">
        <v>1</v>
      </c>
      <c r="R57" s="1">
        <v>1</v>
      </c>
      <c r="S57" s="1">
        <v>2</v>
      </c>
      <c r="T57" s="1">
        <v>0</v>
      </c>
      <c r="U57" s="1">
        <v>65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100</v>
      </c>
      <c r="AB57" s="1">
        <v>8</v>
      </c>
      <c r="AC57" s="1">
        <v>0</v>
      </c>
      <c r="AD57" s="3">
        <v>0</v>
      </c>
      <c r="AE57" s="1">
        <v>6</v>
      </c>
      <c r="AF57" s="10">
        <v>1</v>
      </c>
      <c r="AG57" s="9">
        <v>69.316906228610534</v>
      </c>
      <c r="AH57" s="10">
        <v>0</v>
      </c>
      <c r="AI57" s="11">
        <v>41.034907597535934</v>
      </c>
      <c r="AJ57" s="33">
        <v>2</v>
      </c>
      <c r="AK57" s="36">
        <f>69/1.67^2</f>
        <v>24.740937287102444</v>
      </c>
      <c r="AL57" s="29">
        <v>2</v>
      </c>
      <c r="AM57" s="23">
        <v>42369</v>
      </c>
      <c r="AN57" s="42"/>
      <c r="AO57" s="33" t="s">
        <v>15</v>
      </c>
      <c r="AP57" s="1"/>
      <c r="AQ57" s="1" t="s">
        <v>40</v>
      </c>
    </row>
    <row r="58" spans="1:45" ht="16" x14ac:dyDescent="0.15">
      <c r="A58" s="1">
        <v>44</v>
      </c>
      <c r="B58" s="1">
        <v>1</v>
      </c>
      <c r="C58" s="1" t="s">
        <v>39</v>
      </c>
      <c r="D58" s="1">
        <v>0</v>
      </c>
      <c r="E58" s="1">
        <v>1</v>
      </c>
      <c r="F58" s="1">
        <v>0</v>
      </c>
      <c r="G58" s="1">
        <v>90</v>
      </c>
      <c r="H58" s="1">
        <v>4.7</v>
      </c>
      <c r="I58" s="1">
        <v>1</v>
      </c>
      <c r="J58" s="1">
        <v>7.5</v>
      </c>
      <c r="K58" s="1">
        <v>1</v>
      </c>
      <c r="L58" s="1">
        <v>1</v>
      </c>
      <c r="M58" s="1">
        <v>200</v>
      </c>
      <c r="N58" s="1">
        <v>1</v>
      </c>
      <c r="O58" s="1">
        <v>0</v>
      </c>
      <c r="P58" s="1">
        <v>0</v>
      </c>
      <c r="Q58" s="1" t="s">
        <v>39</v>
      </c>
      <c r="R58" s="1">
        <v>0</v>
      </c>
      <c r="S58" s="1">
        <v>1</v>
      </c>
      <c r="T58" s="1">
        <v>0</v>
      </c>
      <c r="U58" s="1">
        <v>65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150</v>
      </c>
      <c r="AB58" s="1">
        <v>12</v>
      </c>
      <c r="AC58" s="12">
        <v>1</v>
      </c>
      <c r="AD58" s="3">
        <v>0</v>
      </c>
      <c r="AE58" s="1">
        <v>5</v>
      </c>
      <c r="AF58" s="10">
        <v>1</v>
      </c>
      <c r="AG58" s="9">
        <v>79.696098562628336</v>
      </c>
      <c r="AH58" s="10">
        <v>0</v>
      </c>
      <c r="AI58" s="11">
        <v>38.932238193018478</v>
      </c>
      <c r="AJ58" s="33">
        <v>4</v>
      </c>
      <c r="AK58" s="36">
        <f>67/1.67^2</f>
        <v>24.023808670084982</v>
      </c>
      <c r="AL58" s="29">
        <v>3</v>
      </c>
      <c r="AM58" s="23">
        <v>42369</v>
      </c>
      <c r="AN58" s="42"/>
      <c r="AO58" s="33" t="s">
        <v>8</v>
      </c>
      <c r="AP58" s="1" t="s">
        <v>42</v>
      </c>
      <c r="AQ58" s="1"/>
    </row>
    <row r="59" spans="1:45" s="16" customFormat="1" ht="32" x14ac:dyDescent="0.15">
      <c r="A59" s="12">
        <v>74</v>
      </c>
      <c r="B59" s="12">
        <v>1</v>
      </c>
      <c r="C59" s="12" t="s">
        <v>39</v>
      </c>
      <c r="D59" s="12">
        <v>1</v>
      </c>
      <c r="E59" s="12">
        <v>2</v>
      </c>
      <c r="F59" s="12">
        <v>0</v>
      </c>
      <c r="G59" s="12">
        <v>72</v>
      </c>
      <c r="H59" s="12">
        <v>0</v>
      </c>
      <c r="I59" s="12">
        <v>0</v>
      </c>
      <c r="J59" s="12">
        <v>1.5</v>
      </c>
      <c r="K59" s="12">
        <v>0</v>
      </c>
      <c r="L59" s="12">
        <v>0</v>
      </c>
      <c r="M59" s="12">
        <v>75</v>
      </c>
      <c r="N59" s="12">
        <v>16</v>
      </c>
      <c r="O59" s="12">
        <v>1</v>
      </c>
      <c r="P59" s="12">
        <v>0</v>
      </c>
      <c r="Q59" s="12">
        <v>1</v>
      </c>
      <c r="R59" s="12">
        <v>1</v>
      </c>
      <c r="S59" s="12">
        <v>2</v>
      </c>
      <c r="T59" s="12">
        <v>0</v>
      </c>
      <c r="U59" s="12">
        <v>72</v>
      </c>
      <c r="V59" s="12">
        <v>0</v>
      </c>
      <c r="W59" s="12">
        <v>0</v>
      </c>
      <c r="X59" s="12">
        <v>1.5</v>
      </c>
      <c r="Y59" s="12">
        <v>0</v>
      </c>
      <c r="Z59" s="12">
        <v>0</v>
      </c>
      <c r="AA59" s="12">
        <v>75</v>
      </c>
      <c r="AB59" s="12">
        <v>18</v>
      </c>
      <c r="AC59" s="12">
        <v>1</v>
      </c>
      <c r="AD59" s="12">
        <v>0</v>
      </c>
      <c r="AE59" s="12">
        <v>-5.6</v>
      </c>
      <c r="AF59" s="28">
        <v>1</v>
      </c>
      <c r="AG59" s="14">
        <v>52.347707049965777</v>
      </c>
      <c r="AH59" s="28">
        <v>1</v>
      </c>
      <c r="AI59" s="15">
        <v>123.69609856262834</v>
      </c>
      <c r="AJ59" s="34">
        <v>1</v>
      </c>
      <c r="AK59" s="37">
        <f>60/1.66^2</f>
        <v>21.773842357381334</v>
      </c>
      <c r="AL59" s="38">
        <v>2</v>
      </c>
      <c r="AM59" s="7">
        <v>41249</v>
      </c>
      <c r="AN59" s="44" t="s">
        <v>99</v>
      </c>
      <c r="AO59" s="34" t="s">
        <v>25</v>
      </c>
      <c r="AP59" s="12"/>
      <c r="AQ59" s="12" t="s">
        <v>49</v>
      </c>
      <c r="AR59" s="16">
        <v>6.2</v>
      </c>
      <c r="AS59" s="16" t="s">
        <v>9</v>
      </c>
    </row>
    <row r="60" spans="1:45" ht="48" x14ac:dyDescent="0.15">
      <c r="A60" s="1">
        <v>75</v>
      </c>
      <c r="B60" s="1">
        <v>1</v>
      </c>
      <c r="C60" s="1" t="s">
        <v>39</v>
      </c>
      <c r="D60" s="1">
        <v>1</v>
      </c>
      <c r="E60" s="1">
        <v>3</v>
      </c>
      <c r="F60" s="1">
        <v>0</v>
      </c>
      <c r="G60" s="1">
        <v>57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100</v>
      </c>
      <c r="N60" s="1">
        <v>0</v>
      </c>
      <c r="O60" s="1">
        <v>0</v>
      </c>
      <c r="P60" s="1">
        <v>0</v>
      </c>
      <c r="Q60" s="1" t="s">
        <v>39</v>
      </c>
      <c r="R60" s="1">
        <v>1</v>
      </c>
      <c r="S60" s="1">
        <v>3</v>
      </c>
      <c r="T60" s="1">
        <v>0</v>
      </c>
      <c r="U60" s="1">
        <v>83</v>
      </c>
      <c r="V60" s="1">
        <v>0</v>
      </c>
      <c r="W60" s="1">
        <v>0</v>
      </c>
      <c r="X60" s="1">
        <v>1.5</v>
      </c>
      <c r="Y60" s="1">
        <v>0</v>
      </c>
      <c r="Z60" s="1">
        <v>0</v>
      </c>
      <c r="AA60" s="1">
        <v>75</v>
      </c>
      <c r="AB60" s="1">
        <v>10</v>
      </c>
      <c r="AC60" s="12">
        <v>1</v>
      </c>
      <c r="AD60" s="3">
        <v>0</v>
      </c>
      <c r="AE60" s="1">
        <v>1.2</v>
      </c>
      <c r="AF60" s="10">
        <v>0</v>
      </c>
      <c r="AG60" s="9">
        <v>64.695414099931554</v>
      </c>
      <c r="AH60" s="10">
        <v>0</v>
      </c>
      <c r="AI60" s="11">
        <v>115.51540041067761</v>
      </c>
      <c r="AJ60" s="33">
        <v>2</v>
      </c>
      <c r="AK60" s="36">
        <f>64/1.42^2</f>
        <v>31.739734179726245</v>
      </c>
      <c r="AL60" s="29">
        <v>3</v>
      </c>
      <c r="AM60" s="23">
        <v>42369</v>
      </c>
      <c r="AN60" s="45"/>
      <c r="AO60" s="33" t="s">
        <v>20</v>
      </c>
      <c r="AP60" s="1"/>
      <c r="AQ60" s="1" t="s">
        <v>50</v>
      </c>
    </row>
    <row r="61" spans="1:45" ht="16" x14ac:dyDescent="0.15">
      <c r="A61" s="1">
        <v>84</v>
      </c>
      <c r="B61" s="1">
        <v>1</v>
      </c>
      <c r="C61" s="1" t="s">
        <v>39</v>
      </c>
      <c r="D61" s="1">
        <v>0</v>
      </c>
      <c r="E61" s="1">
        <v>3</v>
      </c>
      <c r="F61" s="1">
        <v>0</v>
      </c>
      <c r="G61" s="1">
        <v>68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100</v>
      </c>
      <c r="N61" s="1">
        <v>13</v>
      </c>
      <c r="O61" s="12">
        <v>1</v>
      </c>
      <c r="P61" s="1">
        <v>0</v>
      </c>
      <c r="Q61" s="1" t="s">
        <v>39</v>
      </c>
      <c r="R61" s="1">
        <v>0</v>
      </c>
      <c r="S61" s="1">
        <v>3</v>
      </c>
      <c r="T61" s="1">
        <v>1</v>
      </c>
      <c r="U61" s="1">
        <v>58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25</v>
      </c>
      <c r="AB61" s="1">
        <v>4</v>
      </c>
      <c r="AC61" s="1">
        <v>0</v>
      </c>
      <c r="AD61" s="3">
        <v>0</v>
      </c>
      <c r="AE61" s="1">
        <v>3</v>
      </c>
      <c r="AF61" s="10">
        <v>1</v>
      </c>
      <c r="AG61" s="9">
        <v>77.333333333333329</v>
      </c>
      <c r="AH61" s="10">
        <v>0</v>
      </c>
      <c r="AI61" s="11">
        <v>87.819301848049278</v>
      </c>
      <c r="AJ61" s="33">
        <v>4</v>
      </c>
      <c r="AK61" s="36">
        <f>61/1.6^2</f>
        <v>23.828124999999996</v>
      </c>
      <c r="AL61" s="29">
        <v>3</v>
      </c>
      <c r="AM61" s="23">
        <v>42369</v>
      </c>
      <c r="AN61" s="45"/>
      <c r="AO61" s="33" t="s">
        <v>26</v>
      </c>
      <c r="AP61" s="1"/>
      <c r="AQ61" s="1"/>
    </row>
    <row r="62" spans="1:45" ht="16" x14ac:dyDescent="0.15">
      <c r="A62" s="1">
        <v>102</v>
      </c>
      <c r="B62" s="1">
        <v>1</v>
      </c>
      <c r="C62" s="1">
        <v>1</v>
      </c>
      <c r="D62" s="1">
        <v>1</v>
      </c>
      <c r="E62" s="1">
        <v>2</v>
      </c>
      <c r="F62" s="1">
        <v>0</v>
      </c>
      <c r="G62" s="1">
        <v>75</v>
      </c>
      <c r="H62" s="1">
        <v>0</v>
      </c>
      <c r="I62" s="1">
        <v>0</v>
      </c>
      <c r="J62" s="1">
        <v>1.9</v>
      </c>
      <c r="K62" s="1">
        <v>0</v>
      </c>
      <c r="L62" s="1">
        <v>0</v>
      </c>
      <c r="M62" s="1">
        <v>100</v>
      </c>
      <c r="N62" s="1">
        <v>9</v>
      </c>
      <c r="O62" s="12">
        <v>1</v>
      </c>
      <c r="P62" s="1">
        <v>0</v>
      </c>
      <c r="Q62" s="1" t="s">
        <v>39</v>
      </c>
      <c r="R62" s="1">
        <v>1</v>
      </c>
      <c r="S62" s="1">
        <v>3</v>
      </c>
      <c r="T62" s="1">
        <v>1</v>
      </c>
      <c r="U62" s="1">
        <v>76</v>
      </c>
      <c r="V62" s="1">
        <v>0</v>
      </c>
      <c r="W62" s="1">
        <v>0</v>
      </c>
      <c r="X62" s="1">
        <v>2.1</v>
      </c>
      <c r="Y62" s="1">
        <v>1</v>
      </c>
      <c r="Z62" s="1">
        <v>0</v>
      </c>
      <c r="AA62" s="1">
        <v>100</v>
      </c>
      <c r="AB62" s="1">
        <v>3</v>
      </c>
      <c r="AC62" s="1">
        <v>0</v>
      </c>
      <c r="AD62" s="3">
        <v>0</v>
      </c>
      <c r="AE62" s="1">
        <v>6.7</v>
      </c>
      <c r="AF62" s="10">
        <v>1</v>
      </c>
      <c r="AG62" s="9">
        <v>70.496919917864474</v>
      </c>
      <c r="AH62" s="10">
        <v>0</v>
      </c>
      <c r="AI62" s="11">
        <v>112.29568788501027</v>
      </c>
      <c r="AJ62" s="33">
        <v>3</v>
      </c>
      <c r="AK62" s="36">
        <f>77/1.58^2</f>
        <v>30.844415958980928</v>
      </c>
      <c r="AL62" s="29">
        <v>2</v>
      </c>
      <c r="AM62" s="23">
        <v>42369</v>
      </c>
      <c r="AN62" s="45"/>
      <c r="AO62" s="33" t="s">
        <v>15</v>
      </c>
      <c r="AP62" s="1"/>
      <c r="AQ62" s="1"/>
    </row>
    <row r="63" spans="1:45" ht="16" x14ac:dyDescent="0.15">
      <c r="A63" s="1">
        <v>103</v>
      </c>
      <c r="B63" s="1">
        <v>1</v>
      </c>
      <c r="C63" s="1">
        <v>1</v>
      </c>
      <c r="D63" s="1">
        <v>1</v>
      </c>
      <c r="E63" s="1">
        <v>2</v>
      </c>
      <c r="F63" s="1">
        <v>0</v>
      </c>
      <c r="G63" s="1">
        <v>100</v>
      </c>
      <c r="H63" s="1">
        <v>4.0999999999999996</v>
      </c>
      <c r="I63" s="1">
        <v>1</v>
      </c>
      <c r="J63" s="1">
        <v>7.5</v>
      </c>
      <c r="K63" s="1">
        <v>1</v>
      </c>
      <c r="L63" s="1">
        <v>1</v>
      </c>
      <c r="M63" s="1">
        <v>155</v>
      </c>
      <c r="N63" s="1">
        <v>0</v>
      </c>
      <c r="O63" s="1">
        <v>0</v>
      </c>
      <c r="P63" s="1">
        <v>0</v>
      </c>
      <c r="Q63" s="1" t="s">
        <v>39</v>
      </c>
      <c r="R63" s="1">
        <v>0</v>
      </c>
      <c r="S63" s="1">
        <v>2</v>
      </c>
      <c r="T63" s="1">
        <v>0</v>
      </c>
      <c r="U63" s="1">
        <v>71</v>
      </c>
      <c r="V63" s="1">
        <v>0</v>
      </c>
      <c r="W63" s="1">
        <v>0</v>
      </c>
      <c r="X63" s="1">
        <v>2.1</v>
      </c>
      <c r="Y63" s="1">
        <v>1</v>
      </c>
      <c r="Z63" s="1">
        <v>0</v>
      </c>
      <c r="AA63" s="1">
        <v>75</v>
      </c>
      <c r="AB63" s="1">
        <v>11</v>
      </c>
      <c r="AC63" s="12">
        <v>1</v>
      </c>
      <c r="AD63" s="3">
        <v>0</v>
      </c>
      <c r="AE63" s="1">
        <v>5</v>
      </c>
      <c r="AF63" s="10">
        <v>1</v>
      </c>
      <c r="AG63" s="9">
        <v>74.387405886379199</v>
      </c>
      <c r="AH63" s="10">
        <v>0</v>
      </c>
      <c r="AI63" s="11">
        <v>65.609856262833674</v>
      </c>
      <c r="AJ63" s="33">
        <v>3</v>
      </c>
      <c r="AK63" s="36">
        <f>69/1.58^2</f>
        <v>27.639801313892001</v>
      </c>
      <c r="AL63" s="29">
        <v>2</v>
      </c>
      <c r="AM63" s="23">
        <v>42369</v>
      </c>
      <c r="AN63" s="45"/>
      <c r="AO63" s="33" t="s">
        <v>15</v>
      </c>
      <c r="AP63" s="1"/>
      <c r="AQ63" s="1"/>
    </row>
    <row r="64" spans="1:45" ht="48" x14ac:dyDescent="0.15">
      <c r="A64" s="1">
        <v>110</v>
      </c>
      <c r="B64" s="1">
        <v>1</v>
      </c>
      <c r="C64" s="1">
        <v>1</v>
      </c>
      <c r="D64" s="1">
        <v>1</v>
      </c>
      <c r="E64" s="1">
        <v>3</v>
      </c>
      <c r="F64" s="1">
        <v>0</v>
      </c>
      <c r="G64" s="1">
        <v>96</v>
      </c>
      <c r="H64" s="1">
        <v>1.9</v>
      </c>
      <c r="I64" s="1">
        <v>1</v>
      </c>
      <c r="J64" s="1">
        <v>3.9</v>
      </c>
      <c r="K64" s="1">
        <v>1</v>
      </c>
      <c r="L64" s="1">
        <v>0</v>
      </c>
      <c r="M64" s="1">
        <v>100</v>
      </c>
      <c r="N64" s="1">
        <v>6</v>
      </c>
      <c r="O64" s="1">
        <v>0</v>
      </c>
      <c r="P64" s="1">
        <v>0</v>
      </c>
      <c r="Q64" s="1" t="s">
        <v>39</v>
      </c>
      <c r="R64" s="1">
        <v>0</v>
      </c>
      <c r="S64" s="1">
        <v>3</v>
      </c>
      <c r="T64" s="1">
        <v>0</v>
      </c>
      <c r="U64" s="1">
        <v>78</v>
      </c>
      <c r="V64" s="1">
        <v>0</v>
      </c>
      <c r="W64" s="1">
        <v>0</v>
      </c>
      <c r="X64" s="1">
        <v>4.3</v>
      </c>
      <c r="Y64" s="1">
        <v>1</v>
      </c>
      <c r="Z64" s="1">
        <v>1</v>
      </c>
      <c r="AA64" s="1">
        <v>100</v>
      </c>
      <c r="AB64" s="1">
        <v>11</v>
      </c>
      <c r="AC64" s="12">
        <v>1</v>
      </c>
      <c r="AD64" s="3">
        <v>0</v>
      </c>
      <c r="AE64" s="1">
        <v>6.5</v>
      </c>
      <c r="AF64" s="10">
        <v>0</v>
      </c>
      <c r="AG64" s="9">
        <v>71.110198494182072</v>
      </c>
      <c r="AH64" s="10">
        <v>0</v>
      </c>
      <c r="AI64" s="11">
        <v>53.585215605749489</v>
      </c>
      <c r="AJ64" s="33">
        <v>3</v>
      </c>
      <c r="AK64" s="36">
        <f>76/1.5^2</f>
        <v>33.777777777777779</v>
      </c>
      <c r="AL64" s="29">
        <v>2</v>
      </c>
      <c r="AM64" s="23">
        <v>42369</v>
      </c>
      <c r="AN64" s="45"/>
      <c r="AO64" s="33" t="s">
        <v>15</v>
      </c>
      <c r="AP64" s="1"/>
      <c r="AQ64" s="1" t="s">
        <v>52</v>
      </c>
    </row>
    <row r="65" spans="1:43" ht="16" x14ac:dyDescent="0.15">
      <c r="A65" s="1">
        <v>130</v>
      </c>
      <c r="B65" s="1">
        <v>1</v>
      </c>
      <c r="C65" s="1" t="s">
        <v>39</v>
      </c>
      <c r="D65" s="1">
        <v>1</v>
      </c>
      <c r="E65" s="1">
        <v>2</v>
      </c>
      <c r="F65" s="1">
        <v>0</v>
      </c>
      <c r="G65" s="1">
        <v>83</v>
      </c>
      <c r="H65" s="1">
        <v>0</v>
      </c>
      <c r="I65" s="1">
        <v>0</v>
      </c>
      <c r="J65" s="1">
        <v>1.5</v>
      </c>
      <c r="K65" s="1">
        <v>0</v>
      </c>
      <c r="L65" s="1">
        <v>0</v>
      </c>
      <c r="M65" s="1">
        <v>100</v>
      </c>
      <c r="N65" s="1">
        <v>10</v>
      </c>
      <c r="O65" s="12">
        <v>1</v>
      </c>
      <c r="P65" s="1">
        <v>0</v>
      </c>
      <c r="Q65" s="1" t="s">
        <v>39</v>
      </c>
      <c r="R65" s="1">
        <v>1</v>
      </c>
      <c r="S65" s="1">
        <v>3</v>
      </c>
      <c r="T65" s="1">
        <v>0</v>
      </c>
      <c r="U65" s="1">
        <v>93</v>
      </c>
      <c r="V65" s="1">
        <v>1.7</v>
      </c>
      <c r="W65" s="1">
        <v>1</v>
      </c>
      <c r="X65" s="1">
        <v>3.4</v>
      </c>
      <c r="Y65" s="1">
        <v>1</v>
      </c>
      <c r="Z65" s="1">
        <v>0</v>
      </c>
      <c r="AA65" s="1">
        <v>100</v>
      </c>
      <c r="AB65" s="1">
        <v>7</v>
      </c>
      <c r="AC65" s="1">
        <v>0</v>
      </c>
      <c r="AD65" s="3">
        <v>0</v>
      </c>
      <c r="AE65" s="1">
        <v>6</v>
      </c>
      <c r="AF65" s="10">
        <v>0</v>
      </c>
      <c r="AG65" s="9">
        <v>66.119096509240251</v>
      </c>
      <c r="AH65" s="10">
        <v>0</v>
      </c>
      <c r="AI65" s="11">
        <v>33.149897330595479</v>
      </c>
      <c r="AJ65" s="33">
        <v>2</v>
      </c>
      <c r="AK65" s="36">
        <f>60/1.47^2</f>
        <v>27.76620852422602</v>
      </c>
      <c r="AL65" s="29">
        <v>2</v>
      </c>
      <c r="AM65" s="23">
        <v>42369</v>
      </c>
      <c r="AN65" s="45"/>
      <c r="AO65" s="33" t="s">
        <v>20</v>
      </c>
      <c r="AP65" s="1"/>
      <c r="AQ65" s="1"/>
    </row>
    <row r="66" spans="1:43" s="5" customFormat="1" ht="16" x14ac:dyDescent="0.15">
      <c r="A66" s="3">
        <v>140</v>
      </c>
      <c r="B66" s="3">
        <v>1</v>
      </c>
      <c r="C66" s="3">
        <v>1</v>
      </c>
      <c r="D66" s="3">
        <v>1</v>
      </c>
      <c r="E66" s="3">
        <v>2</v>
      </c>
      <c r="F66" s="3">
        <v>0</v>
      </c>
      <c r="G66" s="3">
        <v>84</v>
      </c>
      <c r="H66" s="3">
        <v>0</v>
      </c>
      <c r="I66" s="3">
        <v>0</v>
      </c>
      <c r="J66" s="3">
        <v>2.6</v>
      </c>
      <c r="K66" s="3">
        <v>1</v>
      </c>
      <c r="L66" s="3">
        <v>0</v>
      </c>
      <c r="M66" s="3">
        <v>75</v>
      </c>
      <c r="N66" s="3">
        <v>5</v>
      </c>
      <c r="O66" s="3">
        <v>0</v>
      </c>
      <c r="P66" s="3">
        <v>0</v>
      </c>
      <c r="Q66" s="3" t="s">
        <v>39</v>
      </c>
      <c r="R66" s="3">
        <v>1</v>
      </c>
      <c r="S66" s="3">
        <v>2</v>
      </c>
      <c r="T66" s="3">
        <v>0</v>
      </c>
      <c r="U66" s="3">
        <v>82</v>
      </c>
      <c r="V66" s="3">
        <v>0</v>
      </c>
      <c r="W66" s="3">
        <v>0</v>
      </c>
      <c r="X66" s="3">
        <v>1.2</v>
      </c>
      <c r="Y66" s="3">
        <v>0</v>
      </c>
      <c r="Z66" s="3">
        <v>0</v>
      </c>
      <c r="AA66" s="3">
        <v>25</v>
      </c>
      <c r="AB66" s="3">
        <v>10</v>
      </c>
      <c r="AC66" s="12">
        <v>1</v>
      </c>
      <c r="AD66" s="3">
        <v>0</v>
      </c>
      <c r="AE66" s="3">
        <v>0</v>
      </c>
      <c r="AF66" s="31">
        <v>0</v>
      </c>
      <c r="AG66" s="19">
        <v>55.241615331964411</v>
      </c>
      <c r="AH66" s="31">
        <v>1</v>
      </c>
      <c r="AI66" s="20">
        <v>137.52772073921972</v>
      </c>
      <c r="AJ66" s="50">
        <v>1</v>
      </c>
      <c r="AK66" s="51">
        <f>90/1.48^2</f>
        <v>41.088385682980281</v>
      </c>
      <c r="AL66" s="41">
        <v>2</v>
      </c>
      <c r="AM66" s="6">
        <v>41960</v>
      </c>
      <c r="AN66" s="52" t="s">
        <v>96</v>
      </c>
      <c r="AO66" s="50" t="s">
        <v>20</v>
      </c>
      <c r="AP66" s="3" t="s">
        <v>51</v>
      </c>
      <c r="AQ66" s="3"/>
    </row>
    <row r="67" spans="1:43" s="16" customFormat="1" ht="16" x14ac:dyDescent="0.15">
      <c r="A67" s="12">
        <v>144</v>
      </c>
      <c r="B67" s="12">
        <v>1</v>
      </c>
      <c r="C67" s="12">
        <v>1</v>
      </c>
      <c r="D67" s="12">
        <v>1</v>
      </c>
      <c r="E67" s="12">
        <v>3</v>
      </c>
      <c r="F67" s="12">
        <v>0</v>
      </c>
      <c r="G67" s="12">
        <v>54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100</v>
      </c>
      <c r="N67" s="12">
        <v>13</v>
      </c>
      <c r="O67" s="12">
        <v>1</v>
      </c>
      <c r="P67" s="12">
        <v>0</v>
      </c>
      <c r="Q67" s="12" t="s">
        <v>39</v>
      </c>
      <c r="R67" s="12">
        <v>1</v>
      </c>
      <c r="S67" s="12">
        <v>3</v>
      </c>
      <c r="T67" s="12">
        <v>0</v>
      </c>
      <c r="U67" s="12">
        <v>83</v>
      </c>
      <c r="V67" s="12">
        <v>0</v>
      </c>
      <c r="W67" s="12">
        <v>0</v>
      </c>
      <c r="X67" s="12">
        <v>4.0999999999999996</v>
      </c>
      <c r="Y67" s="12">
        <v>1</v>
      </c>
      <c r="Z67" s="12">
        <v>1</v>
      </c>
      <c r="AA67" s="12">
        <v>75</v>
      </c>
      <c r="AB67" s="12">
        <v>14</v>
      </c>
      <c r="AC67" s="12">
        <v>1</v>
      </c>
      <c r="AD67" s="12">
        <v>0</v>
      </c>
      <c r="AE67" s="12">
        <v>2.2999999999999998</v>
      </c>
      <c r="AF67" s="28">
        <v>0</v>
      </c>
      <c r="AG67" s="14">
        <v>72.917180013689247</v>
      </c>
      <c r="AH67" s="28">
        <v>0</v>
      </c>
      <c r="AI67" s="15">
        <v>93.798767967145793</v>
      </c>
      <c r="AJ67" s="34">
        <v>4</v>
      </c>
      <c r="AK67" s="37">
        <f>60/2.25</f>
        <v>26.666666666666668</v>
      </c>
      <c r="AL67" s="38">
        <v>3</v>
      </c>
      <c r="AM67" s="24">
        <v>42369</v>
      </c>
      <c r="AN67" s="46"/>
      <c r="AO67" s="34" t="s">
        <v>35</v>
      </c>
      <c r="AP67" s="12" t="s">
        <v>51</v>
      </c>
      <c r="AQ67" s="12"/>
    </row>
    <row r="68" spans="1:43" s="39" customFormat="1" ht="16" x14ac:dyDescent="0.15">
      <c r="A68" s="39">
        <v>155</v>
      </c>
      <c r="B68" s="39">
        <v>3</v>
      </c>
      <c r="C68" s="39" t="s">
        <v>43</v>
      </c>
      <c r="D68" s="39">
        <v>1</v>
      </c>
      <c r="E68" s="39">
        <v>2</v>
      </c>
      <c r="F68" s="39">
        <v>0</v>
      </c>
      <c r="G68" s="39">
        <v>67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100</v>
      </c>
      <c r="N68" s="39">
        <v>12</v>
      </c>
      <c r="O68" s="39">
        <v>1</v>
      </c>
      <c r="P68" s="12">
        <v>0</v>
      </c>
      <c r="Q68" s="39" t="s">
        <v>39</v>
      </c>
      <c r="R68" s="39">
        <v>1</v>
      </c>
      <c r="S68" s="39">
        <v>2</v>
      </c>
      <c r="T68" s="39">
        <v>0</v>
      </c>
      <c r="U68" s="39">
        <v>74</v>
      </c>
      <c r="V68" s="39">
        <v>0</v>
      </c>
      <c r="W68" s="39">
        <v>0</v>
      </c>
      <c r="X68" s="39">
        <v>1</v>
      </c>
      <c r="Y68" s="39">
        <v>0</v>
      </c>
      <c r="Z68" s="39">
        <v>0</v>
      </c>
      <c r="AA68" s="39">
        <v>75</v>
      </c>
      <c r="AB68" s="39">
        <v>23</v>
      </c>
      <c r="AC68" s="39">
        <v>1</v>
      </c>
      <c r="AD68" s="39">
        <v>1</v>
      </c>
      <c r="AE68" s="39">
        <v>5.5</v>
      </c>
      <c r="AF68" s="38">
        <v>0</v>
      </c>
      <c r="AG68" s="14">
        <v>69.535934291581114</v>
      </c>
      <c r="AH68" s="38">
        <v>1</v>
      </c>
      <c r="AI68" s="15">
        <v>35.843942505133469</v>
      </c>
      <c r="AJ68" s="34">
        <v>4</v>
      </c>
      <c r="AK68" s="38">
        <v>27.05</v>
      </c>
      <c r="AL68" s="38">
        <v>3</v>
      </c>
      <c r="AM68" s="24">
        <v>40695</v>
      </c>
      <c r="AN68" s="46" t="s">
        <v>97</v>
      </c>
      <c r="AO68" s="34" t="s">
        <v>86</v>
      </c>
      <c r="AP68" s="39" t="s">
        <v>44</v>
      </c>
      <c r="AQ68" s="39" t="s">
        <v>45</v>
      </c>
    </row>
    <row r="69" spans="1:43" s="39" customFormat="1" ht="16" x14ac:dyDescent="0.15">
      <c r="A69" s="39">
        <v>156</v>
      </c>
      <c r="B69" s="39">
        <v>3</v>
      </c>
      <c r="C69" s="39" t="s">
        <v>39</v>
      </c>
      <c r="D69" s="39">
        <v>1</v>
      </c>
      <c r="E69" s="39">
        <v>3</v>
      </c>
      <c r="F69" s="39">
        <v>0</v>
      </c>
      <c r="G69" s="39">
        <v>55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75</v>
      </c>
      <c r="N69" s="39">
        <v>13</v>
      </c>
      <c r="O69" s="39">
        <v>1</v>
      </c>
      <c r="P69" s="12">
        <v>0</v>
      </c>
      <c r="Q69" s="39" t="s">
        <v>39</v>
      </c>
      <c r="R69" s="39">
        <v>0</v>
      </c>
      <c r="S69" s="39">
        <v>3</v>
      </c>
      <c r="T69" s="39">
        <v>0</v>
      </c>
      <c r="U69" s="39">
        <v>60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75</v>
      </c>
      <c r="AB69" s="39">
        <v>15</v>
      </c>
      <c r="AC69" s="39">
        <v>1</v>
      </c>
      <c r="AD69" s="39">
        <v>0</v>
      </c>
      <c r="AE69" s="39">
        <v>5</v>
      </c>
      <c r="AF69" s="38">
        <v>1</v>
      </c>
      <c r="AG69" s="14">
        <v>62.338124572210816</v>
      </c>
      <c r="AH69" s="38">
        <v>1</v>
      </c>
      <c r="AI69" s="15">
        <v>115.5482546201232</v>
      </c>
      <c r="AJ69" s="34">
        <v>3</v>
      </c>
      <c r="AK69" s="38">
        <v>22.9</v>
      </c>
      <c r="AL69" s="38">
        <v>3</v>
      </c>
      <c r="AM69" s="24">
        <v>41365</v>
      </c>
      <c r="AN69" s="46" t="s">
        <v>98</v>
      </c>
      <c r="AO69" s="34" t="s">
        <v>87</v>
      </c>
      <c r="AP69" s="39" t="s">
        <v>44</v>
      </c>
      <c r="AQ69" s="39" t="s">
        <v>46</v>
      </c>
    </row>
    <row r="70" spans="1:43" x14ac:dyDescent="0.15">
      <c r="G70">
        <f>MAX(G53:G69)</f>
        <v>100</v>
      </c>
      <c r="H70">
        <f>MAX(H53:H69)</f>
        <v>4.7</v>
      </c>
      <c r="J70">
        <f>MAX(J53:J69)</f>
        <v>7.5</v>
      </c>
      <c r="M70">
        <f>MAX(M53:M69)</f>
        <v>200</v>
      </c>
      <c r="V70">
        <f>MAX(V53:V69)</f>
        <v>1.7</v>
      </c>
      <c r="X70">
        <f>MAX(X53:X69)</f>
        <v>4.3</v>
      </c>
      <c r="AA70">
        <f>MAX(AA53:AA69)</f>
        <v>150</v>
      </c>
      <c r="AG70" s="48">
        <f>MAX(AG53:AG69)</f>
        <v>79.696098562628336</v>
      </c>
      <c r="AI70" s="11">
        <f>MAX(AI53:AI69)</f>
        <v>137.52772073921972</v>
      </c>
      <c r="AK70" s="36">
        <f>MAX(AK53:AK69)</f>
        <v>41.088385682980281</v>
      </c>
    </row>
    <row r="71" spans="1:43" x14ac:dyDescent="0.15">
      <c r="G71">
        <f>MIN(G53:G70)</f>
        <v>54</v>
      </c>
      <c r="H71">
        <f>MIN(H53:H70)</f>
        <v>0</v>
      </c>
      <c r="J71">
        <f>MIN(J53:J70)</f>
        <v>0</v>
      </c>
      <c r="M71">
        <f>MIN(M53:M70)</f>
        <v>75</v>
      </c>
      <c r="V71">
        <f>MIN(V53:V70)</f>
        <v>0</v>
      </c>
      <c r="X71">
        <f>MIN(X53:X70)</f>
        <v>0</v>
      </c>
      <c r="AA71">
        <f>MIN(AA53:AA70)</f>
        <v>25</v>
      </c>
      <c r="AG71" s="48">
        <f>MIN(AG53:AG69)</f>
        <v>52.347707049965777</v>
      </c>
      <c r="AI71" s="11">
        <f>MIN(AI53:AI70)</f>
        <v>33.149897330595479</v>
      </c>
      <c r="AK71" s="36">
        <f>MIN(AK53:AK69)</f>
        <v>21.773842357381334</v>
      </c>
    </row>
    <row r="72" spans="1:43" x14ac:dyDescent="0.15">
      <c r="G72">
        <f>AVERAGE(G53:G69)</f>
        <v>73.764705882352942</v>
      </c>
    </row>
  </sheetData>
  <autoFilter ref="B1:B69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raw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Miaggio</dc:creator>
  <cp:lastModifiedBy>Microsoft Office 使用者</cp:lastModifiedBy>
  <dcterms:created xsi:type="dcterms:W3CDTF">2016-01-13T14:27:27Z</dcterms:created>
  <dcterms:modified xsi:type="dcterms:W3CDTF">2019-12-25T15:46:22Z</dcterms:modified>
</cp:coreProperties>
</file>